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8. Feb 2025/"/>
    </mc:Choice>
  </mc:AlternateContent>
  <xr:revisionPtr revIDLastSave="204" documentId="13_ncr:1_{F55B6D92-7297-49F2-9F90-FCD5B0C619EA}" xr6:coauthVersionLast="47" xr6:coauthVersionMax="47" xr10:uidLastSave="{DF169C5E-966D-4929-88A4-AC960F0547C6}"/>
  <bookViews>
    <workbookView xWindow="-120" yWindow="-120" windowWidth="29040" windowHeight="17790" tabRatio="710"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5" l="1"/>
  <c r="AM19" i="48"/>
  <c r="AM21" i="48"/>
  <c r="AM22" i="48"/>
  <c r="AM23" i="48"/>
  <c r="AM29" i="48"/>
  <c r="AM30" i="48"/>
  <c r="AM31" i="48"/>
  <c r="AM32" i="48"/>
  <c r="AM34" i="48"/>
  <c r="AM35" i="48"/>
  <c r="AM45" i="48"/>
  <c r="AM46" i="48"/>
  <c r="AM47" i="48"/>
  <c r="AM51" i="48"/>
  <c r="AM53" i="48"/>
  <c r="AM54" i="48"/>
  <c r="AM55" i="48"/>
  <c r="AM56" i="48"/>
  <c r="AM57" i="48"/>
  <c r="AM58" i="48"/>
  <c r="AM59" i="48"/>
  <c r="AM61" i="48"/>
  <c r="AM63" i="48"/>
  <c r="AM67" i="48"/>
  <c r="B25" i="35"/>
  <c r="U70" i="48"/>
  <c r="AM14" i="48"/>
  <c r="AM15" i="48"/>
  <c r="AM38" i="48"/>
  <c r="AM39" i="48"/>
  <c r="AM49" i="48"/>
  <c r="AM62" i="48"/>
  <c r="T70" i="48"/>
  <c r="AM26" i="48"/>
  <c r="AM27" i="48"/>
  <c r="AM33" i="48"/>
  <c r="AM50" i="48"/>
  <c r="B23" i="35"/>
  <c r="AM12" i="48"/>
  <c r="AM13" i="48"/>
  <c r="AM16" i="48"/>
  <c r="AM17" i="48"/>
  <c r="AM18" i="48"/>
  <c r="AM20" i="48"/>
  <c r="AM24" i="48"/>
  <c r="AM25" i="48"/>
  <c r="AM28" i="48"/>
  <c r="AM36" i="48"/>
  <c r="AM37" i="48"/>
  <c r="AM40" i="48"/>
  <c r="AM41" i="48"/>
  <c r="AM42" i="48"/>
  <c r="AM43" i="48"/>
  <c r="AM44" i="48"/>
  <c r="AM48" i="48"/>
  <c r="AM52" i="48"/>
  <c r="AM60" i="48"/>
  <c r="AM64" i="48"/>
  <c r="AM65" i="48"/>
  <c r="AM66" i="48"/>
  <c r="N70" i="48"/>
  <c r="M70" i="48"/>
  <c r="C21" i="35"/>
  <c r="B20" i="35"/>
  <c r="B19" i="35"/>
  <c r="E31" i="35"/>
  <c r="D29" i="35"/>
  <c r="C29" i="35"/>
  <c r="B29" i="35"/>
  <c r="D28" i="35"/>
  <c r="C28" i="35"/>
  <c r="B28" i="35"/>
  <c r="D27" i="35"/>
  <c r="C27" i="35"/>
  <c r="B27" i="35"/>
  <c r="D26" i="35"/>
  <c r="C26" i="35"/>
  <c r="B26" i="35"/>
  <c r="C25"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AF70" i="48"/>
  <c r="AE70" i="48"/>
  <c r="AD70" i="48"/>
  <c r="AC70" i="48"/>
  <c r="AB70" i="48"/>
  <c r="AA70" i="48"/>
  <c r="Y70" i="48"/>
  <c r="Q70" i="48"/>
  <c r="P70" i="48"/>
  <c r="K70" i="48"/>
  <c r="J70" i="48"/>
  <c r="H70" i="48"/>
  <c r="G70" i="48"/>
  <c r="E70" i="48"/>
  <c r="D70" i="48"/>
  <c r="Z70" i="48" l="1"/>
  <c r="X70" i="48"/>
  <c r="V70" i="48"/>
  <c r="W70" i="48"/>
  <c r="D24" i="35"/>
  <c r="C24" i="35"/>
  <c r="S70" i="48"/>
  <c r="C23" i="35"/>
  <c r="R70" i="48"/>
  <c r="B22" i="35"/>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<sst xmlns="http://schemas.openxmlformats.org/spreadsheetml/2006/main" count="831" uniqueCount="121">
  <si>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</si>
  <si>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</si>
  <si>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</si>
  <si>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</si>
  <si>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</si>
  <si>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</si>
  <si>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</si>
  <si>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</si>
  <si>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</si>
  <si>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</si>
  <si>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</si>
  <si>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</si>
  <si>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</si>
  <si>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</si>
  <si>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</si>
  <si>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</si>
  <si>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</si>
  <si>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</si>
  <si>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</si>
  <si>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</si>
  <si>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</si>
  <si>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</si>
  <si>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</si>
  <si>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</si>
  <si>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</si>
  <si>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</si>
  <si>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</si>
  <si>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</si>
  <si>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</si>
  <si>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</si>
  <si>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</si>
  <si>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</si>
  <si>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</si>
  <si>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</si>
  <si>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</si>
  <si>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</si>
  <si>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</si>
  <si>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</si>
  <si>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</si>
  <si>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</si>
  <si>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</si>
  <si>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</si>
  <si>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</si>
  <si>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</si>
  <si>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</si>
  <si>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</si>
  <si>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</si>
  <si>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</si>
  <si>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</si>
  <si>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</si>
  <si>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</si>
  <si>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</si>
  <si>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</si>
  <si>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</si>
  <si>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</si>
  <si>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</si>
  <si>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</si>
  <si>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</si>
  <si>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</si>
  <si>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</si>
  <si>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</si>
  <si>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</si>
  <si>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</si>
  <si>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</si>
  <si>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</si>
  <si>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</si>
  <si>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</si>
  <si>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</si>
  <si>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</si>
  <si>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</si>
  <si>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</si>
  <si>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</si>
  <si>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</si>
  <si>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</si>
  <si>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</si>
  <si>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</si>
  <si>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</si>
  <si>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</si>
  <si>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</si>
  <si>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</si>
  <si>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</si>
  <si>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</si>
  <si>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</si>
  <si>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</si>
  <si>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</si>
  <si>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</si>
  <si>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</si>
  <si>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</si>
  <si>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</si>
  <si>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</si>
  <si>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</si>
  <si>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</si>
  <si>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</si>
  <si>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</si>
  <si>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</si>
  <si>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</si>
  <si>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</si>
  <si>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</si>
  <si>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</si>
  <si>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</si>
  <si>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</si>
  <si>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</si>
  <si>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</si>
  <si>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</si>
  <si>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</si>
  <si>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</si>
  <si>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</si>
  <si>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</si>
  <si>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</si>
  <si>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</si>
  <si>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</si>
  <si>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</si>
  <si>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</si>
  <si>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</si>
  <si>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</si>
  <si>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2018/2019</t>
  </si>
  <si>
    <t>Published: 26 July 2019</t>
  </si>
  <si>
    <t>Published: 26 July 2024</t>
  </si>
  <si>
    <t>2024/2025</t>
  </si>
  <si>
    <t>2024 / 2025</t>
  </si>
  <si>
    <t>Published: 28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</si>
</sst>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1700429B-ABE0-44CD-91FB-00D26255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tabSelected="1" workbookViewId="0"/>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H13" sqref="H13:J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13168227.759999998</v>
      </c>
      <c r="C18" s="62">
        <f>VLOOKUP($H$13,'Detail Data 2024-2025'!$A$11:$D$67,4,0)</f>
        <v>780</v>
      </c>
      <c r="D18" s="63">
        <f>VLOOKUP($H$13,'Detail Data 2024-2025'!$A$11:$E$67,5,0)</f>
        <v>12</v>
      </c>
      <c r="E18" s="61">
        <f>VLOOKUP($H$13,'Detail Data 2023-2024'!$A$11:$C$67,3,0)</f>
        <v>13115007.459999999</v>
      </c>
      <c r="F18" s="62">
        <f>VLOOKUP($H$13,'Detail Data 2023-2024'!$A$11:$D$67,4,0)</f>
        <v>780</v>
      </c>
      <c r="G18" s="63">
        <f>VLOOKUP($H$13,'Detail Data 2023-2024'!$A$11:$E$67,5,0)</f>
        <v>12</v>
      </c>
      <c r="H18" s="61">
        <f>VLOOKUP($H$13,'Detail Data 2022-2023'!$A$11:$C$67,3,0)</f>
        <v>13341092.119999999</v>
      </c>
      <c r="I18" s="62">
        <f>VLOOKUP($H$13,'Detail Data 2022-2023'!$A$11:$D$67,4,0)</f>
        <v>780</v>
      </c>
      <c r="J18" s="63">
        <f>VLOOKUP($H$13,'Detail Data 2022-2023'!$A$11:$E$67,5,0)</f>
        <v>12</v>
      </c>
      <c r="K18" s="50"/>
      <c r="N18" s="9"/>
      <c r="O18" s="22" t="s">
        <v>41</v>
      </c>
      <c r="P18" s="7" t="s">
        <v>13</v>
      </c>
      <c r="Q18" s="9"/>
      <c r="R18" s="9"/>
      <c r="T18" s="8"/>
      <c r="W18" s="53"/>
      <c r="X18" s="55"/>
      <c r="Y18" s="16"/>
    </row>
    <row r="19" spans="1:25" ht="12" x14ac:dyDescent="0.2">
      <c r="A19" s="54" t="s">
        <v>42</v>
      </c>
      <c r="B19" s="61">
        <f>VLOOKUP($H$13,'Detail Data 2024-2025'!$A$11:$F$67,6,0)</f>
        <v>13859190.059999999</v>
      </c>
      <c r="C19" s="62">
        <f>VLOOKUP($H$13,'Detail Data 2024-2025'!$A$11:$G$67,7,0)</f>
        <v>780</v>
      </c>
      <c r="D19" s="63">
        <f>VLOOKUP($H$13,'Detail Data 2024-2025'!$A$11:$H$67,8,0)</f>
        <v>12</v>
      </c>
      <c r="E19" s="61">
        <f>VLOOKUP($H$13,'Detail Data 2023-2024'!$A$11:$F$67,6,0)</f>
        <v>13204909.580000002</v>
      </c>
      <c r="F19" s="62">
        <f>VLOOKUP($H$13,'Detail Data 2023-2024'!$A$11:$G$67,7,0)</f>
        <v>780</v>
      </c>
      <c r="G19" s="63">
        <f>VLOOKUP($H$13,'Detail Data 2023-2024'!$A$11:$H$67,8,0)</f>
        <v>12</v>
      </c>
      <c r="H19" s="61">
        <f>VLOOKUP($H$13,'Detail Data 2022-2023'!$A$11:$F$67,6,0)</f>
        <v>13363687.15</v>
      </c>
      <c r="I19" s="62">
        <f>VLOOKUP($H$13,'Detail Data 2022-2023'!$A$11:$G$67,7,0)</f>
        <v>778</v>
      </c>
      <c r="J19" s="63">
        <f>VLOOKUP($H$13,'Detail Data 2022-2023'!$A$11:$H$67,8,0)</f>
        <v>12</v>
      </c>
      <c r="K19" s="50"/>
      <c r="N19" s="9"/>
      <c r="O19" s="22" t="s">
        <v>43</v>
      </c>
      <c r="P19" s="7" t="s">
        <v>13</v>
      </c>
      <c r="Q19" s="9"/>
      <c r="R19" s="9"/>
      <c r="T19" s="8"/>
      <c r="W19" s="53"/>
      <c r="X19" s="55"/>
      <c r="Y19" s="16"/>
    </row>
    <row r="20" spans="1:25" ht="12" x14ac:dyDescent="0.2">
      <c r="A20" s="54" t="s">
        <v>44</v>
      </c>
      <c r="B20" s="61">
        <f>VLOOKUP($H$13,'Detail Data 2024-2025'!$A$11:$I$67,9,0)</f>
        <v>12878157.870000001</v>
      </c>
      <c r="C20" s="62">
        <f>VLOOKUP($H$13,'Detail Data 2024-2025'!$A$11:$J$67,10,0)</f>
        <v>780</v>
      </c>
      <c r="D20" s="63">
        <f>VLOOKUP($H$13,'Detail Data 2024-2025'!$A$11:$K$67,11,0)</f>
        <v>12</v>
      </c>
      <c r="E20" s="61">
        <f>VLOOKUP($H$13,'Detail Data 2023-2024'!$A$11:$I$67,9,0)</f>
        <v>12308843.32</v>
      </c>
      <c r="F20" s="62">
        <f>VLOOKUP($H$13,'Detail Data 2023-2024'!$A$11:$J$67,10,0)</f>
        <v>780</v>
      </c>
      <c r="G20" s="63">
        <f>VLOOKUP($H$13,'Detail Data 2023-2024'!$A$11:$K$67,11,0)</f>
        <v>12</v>
      </c>
      <c r="H20" s="61">
        <f>VLOOKUP($H$13,'Detail Data 2022-2023'!$A$11:$I$67,9,0)</f>
        <v>12540059.370000001</v>
      </c>
      <c r="I20" s="62">
        <f>VLOOKUP($H$13,'Detail Data 2022-2023'!$A$11:$J$67,10,0)</f>
        <v>780</v>
      </c>
      <c r="J20" s="63">
        <f>VLOOKUP($H$13,'Detail Data 2022-2023'!$A$11:$K$67,11,0)</f>
        <v>12</v>
      </c>
      <c r="K20" s="50"/>
      <c r="N20" s="9"/>
      <c r="O20" s="22" t="s">
        <v>45</v>
      </c>
      <c r="P20" s="7" t="s">
        <v>13</v>
      </c>
      <c r="Q20" s="9"/>
      <c r="R20" s="9"/>
      <c r="T20" s="8"/>
      <c r="W20" s="53"/>
      <c r="X20" s="55"/>
      <c r="Y20" s="16"/>
    </row>
    <row r="21" spans="1:25" ht="12" x14ac:dyDescent="0.2">
      <c r="A21" s="54" t="s">
        <v>46</v>
      </c>
      <c r="B21" s="61">
        <f>VLOOKUP($H$13,'Detail Data 2024-2025'!$A$11:$L$67,12,0)</f>
        <v>13413879.829999998</v>
      </c>
      <c r="C21" s="62">
        <f>VLOOKUP($H$13,'Detail Data 2024-2025'!$A$11:$M$67,13,0)</f>
        <v>779</v>
      </c>
      <c r="D21" s="63">
        <f>VLOOKUP($H$13,'Detail Data 2024-2025'!$A$11:$N$67,14,0)</f>
        <v>12</v>
      </c>
      <c r="E21" s="61">
        <f>VLOOKUP($H$13,'Detail Data 2023-2024'!$A$11:$L$67,12,0)</f>
        <v>12557429.420000002</v>
      </c>
      <c r="F21" s="62">
        <f>VLOOKUP($H$13,'Detail Data 2023-2024'!$A$11:$M$67,13,0)</f>
        <v>780</v>
      </c>
      <c r="G21" s="63">
        <f>VLOOKUP($H$13,'Detail Data 2023-2024'!$A$11:$N$67,14,0)</f>
        <v>12</v>
      </c>
      <c r="H21" s="61">
        <f>VLOOKUP($H$13,'Detail Data 2022-2023'!$A$11:$L$67,12,0)</f>
        <v>13206022.580000002</v>
      </c>
      <c r="I21" s="62">
        <f>VLOOKUP($H$13,'Detail Data 2022-2023'!$A$11:$M$67,13,0)</f>
        <v>780</v>
      </c>
      <c r="J21" s="63">
        <f>VLOOKUP($H$13,'Detail Data 2022-2023'!$A$11:$N$67,14,0)</f>
        <v>12</v>
      </c>
      <c r="K21" s="50"/>
      <c r="N21" s="9"/>
      <c r="O21" s="22" t="s">
        <v>47</v>
      </c>
      <c r="P21" s="7" t="s">
        <v>13</v>
      </c>
      <c r="Q21" s="9"/>
      <c r="R21" s="9"/>
      <c r="T21" s="8"/>
      <c r="W21" s="53"/>
      <c r="X21" s="55"/>
      <c r="Y21" s="16"/>
    </row>
    <row r="22" spans="1:25" ht="12" x14ac:dyDescent="0.2">
      <c r="A22" s="54" t="s">
        <v>48</v>
      </c>
      <c r="B22" s="61">
        <f>VLOOKUP($H$13,'Detail Data 2024-2025'!$A$11:$O$67,15,0)</f>
        <v>12810129.500000002</v>
      </c>
      <c r="C22" s="62">
        <f>VLOOKUP($H$13,'Detail Data 2024-2025'!$A$11:$P$67,16,0)</f>
        <v>780</v>
      </c>
      <c r="D22" s="63">
        <f>VLOOKUP($H$13,'Detail Data 2024-2025'!$A$11:$Q$67,17,0)</f>
        <v>12</v>
      </c>
      <c r="E22" s="61">
        <f>VLOOKUP($H$13,'Detail Data 2023-2024'!$A$11:$O$67,15,0)</f>
        <v>12084156.180000002</v>
      </c>
      <c r="F22" s="62">
        <f>VLOOKUP($H$13,'Detail Data 2023-2024'!$A$11:$P$67,16,0)</f>
        <v>780</v>
      </c>
      <c r="G22" s="63">
        <f>VLOOKUP($H$13,'Detail Data 2023-2024'!$A$11:$Q$67,17,0)</f>
        <v>12</v>
      </c>
      <c r="H22" s="61">
        <f>VLOOKUP($H$13,'Detail Data 2022-2023'!$A$11:$O$67,15,0)</f>
        <v>11904584.48</v>
      </c>
      <c r="I22" s="62">
        <f>VLOOKUP($H$13,'Detail Data 2022-2023'!$A$11:$P$67,16,0)</f>
        <v>780</v>
      </c>
      <c r="J22" s="63">
        <f>VLOOKUP($H$13,'Detail Data 2022-2023'!$A$11:$Q$67,17,0)</f>
        <v>12</v>
      </c>
      <c r="K22" s="50"/>
      <c r="N22" s="9"/>
      <c r="O22" s="22" t="s">
        <v>49</v>
      </c>
      <c r="P22" s="7" t="s">
        <v>13</v>
      </c>
      <c r="Q22" s="9"/>
      <c r="R22" s="9"/>
      <c r="T22" s="8"/>
      <c r="W22" s="53"/>
      <c r="X22" s="55"/>
      <c r="Y22" s="16"/>
    </row>
    <row r="23" spans="1:25" ht="12" x14ac:dyDescent="0.2">
      <c r="A23" s="54" t="s">
        <v>50</v>
      </c>
      <c r="B23" s="61">
        <f>VLOOKUP($H$13,'Detail Data 2024-2025'!$A$11:$R$67,18,0)</f>
        <v>13352051.140000001</v>
      </c>
      <c r="C23" s="62">
        <f>VLOOKUP($H$13,'Detail Data 2024-2025'!$A$11:$S$67,19,0)</f>
        <v>780</v>
      </c>
      <c r="D23" s="63">
        <f>VLOOKUP($H$13,'Detail Data 2024-2025'!$A$11:$T$67,20,0)</f>
        <v>12</v>
      </c>
      <c r="E23" s="61">
        <f>VLOOKUP($H$13,'Detail Data 2023-2024'!$A$11:$R$67,18,0)</f>
        <v>13262017.310000002</v>
      </c>
      <c r="F23" s="62">
        <f>VLOOKUP($H$13,'Detail Data 2023-2024'!$A$11:$S$67,19,0)</f>
        <v>780</v>
      </c>
      <c r="G23" s="63">
        <f>VLOOKUP($H$13,'Detail Data 2023-2024'!$A$11:$T$67,20,0)</f>
        <v>12</v>
      </c>
      <c r="H23" s="61">
        <f>VLOOKUP($H$13,'Detail Data 2022-2023'!$A$11:$R$67,18,0)</f>
        <v>12892691.810000001</v>
      </c>
      <c r="I23" s="62">
        <f>VLOOKUP($H$13,'Detail Data 2022-2023'!$A$11:$S$67,19,0)</f>
        <v>778</v>
      </c>
      <c r="J23" s="63">
        <f>VLOOKUP($H$13,'Detail Data 2022-2023'!$A$11:$T$67,20,0)</f>
        <v>12</v>
      </c>
      <c r="K23" s="50"/>
      <c r="N23" s="9"/>
      <c r="O23" s="22" t="s">
        <v>51</v>
      </c>
      <c r="P23" s="7" t="s">
        <v>13</v>
      </c>
      <c r="Q23" s="9"/>
      <c r="R23" s="9"/>
      <c r="T23" s="8"/>
      <c r="W23" s="53"/>
      <c r="X23" s="55"/>
      <c r="Y23" s="16"/>
    </row>
    <row r="24" spans="1:25" ht="12" x14ac:dyDescent="0.2">
      <c r="A24" s="54" t="s">
        <v>52</v>
      </c>
      <c r="B24" s="61">
        <f>VLOOKUP($H$13,'Detail Data 2024-2025'!$A$11:$U$67,21,0)</f>
        <v>12173775.490000002</v>
      </c>
      <c r="C24" s="62">
        <f>VLOOKUP($H$13,'Detail Data 2024-2025'!$A$11:$V$67,22,0)</f>
        <v>780</v>
      </c>
      <c r="D24" s="63">
        <f>VLOOKUP($H$13,'Detail Data 2024-2025'!$A$11:$W$67,23,0)</f>
        <v>12</v>
      </c>
      <c r="E24" s="61">
        <f>VLOOKUP($H$13,'Detail Data 2023-2024'!$A$11:$U$67,21,0)</f>
        <v>11712510.149999999</v>
      </c>
      <c r="F24" s="62">
        <f>VLOOKUP($H$13,'Detail Data 2023-2024'!$A$11:$V$67,22,0)</f>
        <v>780</v>
      </c>
      <c r="G24" s="63">
        <f>VLOOKUP($H$13,'Detail Data 2023-2024'!$A$11:$W$67,23,0)</f>
        <v>12</v>
      </c>
      <c r="H24" s="61">
        <f>VLOOKUP($H$13,'Detail Data 2022-2023'!$A$11:$U$67,21,0)</f>
        <v>11857137.539999997</v>
      </c>
      <c r="I24" s="62">
        <f>VLOOKUP($H$13,'Detail Data 2022-2023'!$A$11:$V$67,22,0)</f>
        <v>780</v>
      </c>
      <c r="J24" s="63">
        <f>VLOOKUP($H$13,'Detail Data 2022-2023'!$A$11:$W$67,23,0)</f>
        <v>12</v>
      </c>
      <c r="K24" s="50"/>
      <c r="N24" s="9"/>
      <c r="O24" s="22" t="s">
        <v>53</v>
      </c>
      <c r="P24" s="7" t="s">
        <v>13</v>
      </c>
      <c r="Q24" s="9"/>
      <c r="R24" s="9"/>
      <c r="T24" s="8"/>
      <c r="W24" s="53"/>
      <c r="X24" s="55"/>
      <c r="Y24" s="16"/>
    </row>
    <row r="25" spans="1:25" ht="12" x14ac:dyDescent="0.2">
      <c r="A25" s="54" t="s">
        <v>54</v>
      </c>
      <c r="B25" s="61">
        <f>VLOOKUP($H$13,'Detail Data 2024-2025'!$A$11:$X$67,24,0)</f>
        <v>11333416.020000001</v>
      </c>
      <c r="C25" s="62">
        <f>VLOOKUP($H$13,'Detail Data 2024-2025'!$A$11:$Y$67,25,0)</f>
        <v>780</v>
      </c>
      <c r="D25" s="63">
        <f>VLOOKUP($H$13,'Detail Data 2024-2025'!$A$11:$Z$67,26,0)</f>
        <v>12</v>
      </c>
      <c r="E25" s="61">
        <f>VLOOKUP($H$13,'Detail Data 2023-2024'!$A$11:$X$67,24,0)</f>
        <v>11392477.569999998</v>
      </c>
      <c r="F25" s="62">
        <f>VLOOKUP($H$13,'Detail Data 2023-2024'!$A$11:$Y$67,25,0)</f>
        <v>766</v>
      </c>
      <c r="G25" s="63">
        <f>VLOOKUP($H$13,'Detail Data 2023-2024'!$A$11:$Z$67,26,0)</f>
        <v>12</v>
      </c>
      <c r="H25" s="61">
        <f>VLOOKUP($H$13,'Detail Data 2022-2023'!$A$11:$X$67,24,0)</f>
        <v>10951410.540000001</v>
      </c>
      <c r="I25" s="62">
        <f>VLOOKUP($H$13,'Detail Data 2022-2023'!$A$11:$Y$67,25,0)</f>
        <v>780</v>
      </c>
      <c r="J25" s="63">
        <f>VLOOKUP($H$13,'Detail Data 2022-2023'!$A$11:$Z$67,26,0)</f>
        <v>12</v>
      </c>
      <c r="K25" s="50"/>
      <c r="N25" s="9"/>
      <c r="O25" s="22" t="s">
        <v>55</v>
      </c>
      <c r="P25" s="7" t="s">
        <v>13</v>
      </c>
      <c r="Q25" s="9"/>
      <c r="R25" s="9"/>
      <c r="T25" s="8"/>
      <c r="W25" s="53"/>
      <c r="X25" s="55"/>
      <c r="Y25" s="16"/>
    </row>
    <row r="26" spans="1:25" ht="12" x14ac:dyDescent="0.2">
      <c r="A26" s="54" t="s">
        <v>56</v>
      </c>
      <c r="B26" s="61">
        <f>VLOOKUP($H$13,'Detail Data 2024-2025'!$A$11:$AA$67,27,0)</f>
        <v>0</v>
      </c>
      <c r="C26" s="62">
        <f>VLOOKUP($H$13,'Detail Data 2024-2025'!$A$11:$AB$67,28,0)</f>
        <v>0</v>
      </c>
      <c r="D26" s="63">
        <f>VLOOKUP($H$13,'Detail Data 2024-2025'!$A$11:$AC$67,29,0)</f>
        <v>0</v>
      </c>
      <c r="E26" s="61">
        <f>VLOOKUP($H$13,'Detail Data 2023-2024'!$A$11:$AA$67,27,0)</f>
        <v>12027887.68</v>
      </c>
      <c r="F26" s="62">
        <f>VLOOKUP($H$13,'Detail Data 2023-2024'!$A$11:$AB$67,28,0)</f>
        <v>780</v>
      </c>
      <c r="G26" s="63">
        <f>VLOOKUP($H$13,'Detail Data 2023-2024'!$A$11:$AC$67,29,0)</f>
        <v>12</v>
      </c>
      <c r="H26" s="61">
        <f>VLOOKUP($H$13,'Detail Data 2022-2023'!$A$11:$AA$67,27,0)</f>
        <v>11955695.880000001</v>
      </c>
      <c r="I26" s="62">
        <f>VLOOKUP($H$13,'Detail Data 2022-2023'!$A$11:$AB$67,28,0)</f>
        <v>780</v>
      </c>
      <c r="J26" s="63">
        <f>VLOOKUP($H$13,'Detail Data 2022-2023'!$A$11:$AC$67,29,0)</f>
        <v>12</v>
      </c>
      <c r="K26" s="50"/>
      <c r="N26" s="9"/>
      <c r="O26" s="22" t="s">
        <v>57</v>
      </c>
      <c r="P26" s="7" t="s">
        <v>13</v>
      </c>
      <c r="Q26" s="9"/>
      <c r="R26" s="9"/>
      <c r="T26" s="8"/>
      <c r="W26" s="53"/>
      <c r="X26" s="55"/>
      <c r="Y26" s="16"/>
    </row>
    <row r="27" spans="1:25" ht="12" x14ac:dyDescent="0.2">
      <c r="A27" s="54" t="s">
        <v>58</v>
      </c>
      <c r="B27" s="61">
        <f>VLOOKUP($H$13,'Detail Data 2024-2025'!$A$11:$AD$67,30,0)</f>
        <v>0</v>
      </c>
      <c r="C27" s="62">
        <f>VLOOKUP($H$13,'Detail Data 2024-2025'!$A$11:$AE$67,31,0)</f>
        <v>0</v>
      </c>
      <c r="D27" s="63">
        <f>VLOOKUP($H$13,'Detail Data 2024-2025'!$A$11:$AF$67,32,0)</f>
        <v>0</v>
      </c>
      <c r="E27" s="61">
        <f>VLOOKUP($H$13,'Detail Data 2023-2024'!$A$11:$AD$67,30,0)</f>
        <v>12075650</v>
      </c>
      <c r="F27" s="62">
        <f>VLOOKUP($H$13,'Detail Data 2023-2024'!$A$11:$AE$67,31,0)</f>
        <v>780</v>
      </c>
      <c r="G27" s="63">
        <f>VLOOKUP($H$13,'Detail Data 2023-2024'!$A$11:$AF$67,32,0)</f>
        <v>12</v>
      </c>
      <c r="H27" s="61">
        <f>VLOOKUP($H$13,'Detail Data 2022-2023'!$A$11:$AD$67,30,0)</f>
        <v>11754432.300000001</v>
      </c>
      <c r="I27" s="62">
        <f>VLOOKUP($H$13,'Detail Data 2022-2023'!$A$11:$AE$67,31,0)</f>
        <v>780</v>
      </c>
      <c r="J27" s="63">
        <f>VLOOKUP($H$13,'Detail Data 2022-2023'!$A$11:$AF$67,32,0)</f>
        <v>12</v>
      </c>
      <c r="K27" s="50"/>
      <c r="N27" s="9"/>
      <c r="O27" s="22" t="s">
        <v>59</v>
      </c>
      <c r="P27" s="7" t="s">
        <v>13</v>
      </c>
      <c r="Q27" s="9"/>
      <c r="R27" s="9"/>
      <c r="T27" s="8"/>
      <c r="W27" s="53"/>
      <c r="X27" s="55"/>
      <c r="Y27" s="16"/>
    </row>
    <row r="28" spans="1:25" ht="12" x14ac:dyDescent="0.2">
      <c r="A28" s="54" t="s">
        <v>60</v>
      </c>
      <c r="B28" s="61">
        <f>VLOOKUP($H$13,'Detail Data 2024-2025'!$A$11:$AG$67,33,0)</f>
        <v>0</v>
      </c>
      <c r="C28" s="62">
        <f>VLOOKUP($H$13,'Detail Data 2024-2025'!$A$11:$AH$67,34,0)</f>
        <v>0</v>
      </c>
      <c r="D28" s="63">
        <f>VLOOKUP($H$13,'Detail Data 2024-2025'!$A$11:$AI$67,35,0)</f>
        <v>0</v>
      </c>
      <c r="E28" s="61">
        <f>VLOOKUP($H$13,'Detail Data 2023-2024'!$A$11:$AG$67,33,0)</f>
        <v>12517319.760000002</v>
      </c>
      <c r="F28" s="62">
        <f>VLOOKUP($H$13,'Detail Data 2023-2024'!$A$11:$AH$67,34,0)</f>
        <v>780</v>
      </c>
      <c r="G28" s="63">
        <f>VLOOKUP($H$13,'Detail Data 2023-2024'!$A$11:$AI$67,35,0)</f>
        <v>12</v>
      </c>
      <c r="H28" s="61">
        <f>VLOOKUP($H$13,'Detail Data 2022-2023'!$A$11:$AG$67,33,0)</f>
        <v>11775329.17</v>
      </c>
      <c r="I28" s="62">
        <f>VLOOKUP($H$13,'Detail Data 2022-2023'!$A$11:$AH$67,34,0)</f>
        <v>780</v>
      </c>
      <c r="J28" s="63">
        <f>VLOOKUP($H$13,'Detail Data 2022-2023'!$A$11:$AI$67,35,0)</f>
        <v>12</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12137493.41</v>
      </c>
      <c r="F29" s="62">
        <f>VLOOKUP($H$13,'Detail Data 2023-2024'!$A$11:$AM$67,37,0)</f>
        <v>779</v>
      </c>
      <c r="G29" s="63">
        <f>VLOOKUP($H$13,'Detail Data 2023-2024'!$A$11:$AN$67,38,0)</f>
        <v>12</v>
      </c>
      <c r="H29" s="61">
        <f>VLOOKUP($H$13,'Detail Data 2022-2023'!$A$11:$AJ$67,36,0)</f>
        <v>11904727.640000001</v>
      </c>
      <c r="I29" s="62">
        <f>VLOOKUP($H$13,'Detail Data 2022-2023'!$A$11:$AK$67,37,0)</f>
        <v>780</v>
      </c>
      <c r="J29" s="63">
        <f>VLOOKUP($H$13,'Detail Data 2022-2023'!$A$11:$AL$67,38,0)</f>
        <v>12</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102988827.67</v>
      </c>
      <c r="C31" s="46"/>
      <c r="D31" s="48"/>
      <c r="E31" s="47">
        <f>VLOOKUP(H13,'Detail Data 2023-2024'!A:AM,39,0)</f>
        <v>148395701.84</v>
      </c>
      <c r="F31" s="46"/>
      <c r="G31" s="48"/>
      <c r="H31" s="47">
        <f>VLOOKUP(H13,'Detail Data 2022-2023'!A11:AM67,39,0)</f>
        <v>147446870.57999998</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118</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c r="AB11" s="4"/>
      <c r="AC11" s="4"/>
      <c r="AD11" s="5"/>
      <c r="AE11" s="4"/>
      <c r="AF11" s="4"/>
      <c r="AG11" s="5"/>
      <c r="AH11" s="4"/>
      <c r="AI11" s="4"/>
      <c r="AJ11" s="5"/>
      <c r="AK11" s="4"/>
      <c r="AL11" s="4"/>
      <c r="AM11" s="26">
        <f>+C11+F11+I11+L11+O11+R11+U11+X11+AA11+AD11+AG11+AJ11</f>
        <v>102988827.67</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c r="AB12" s="4"/>
      <c r="AC12" s="4"/>
      <c r="AD12" s="5"/>
      <c r="AE12" s="4"/>
      <c r="AF12" s="4"/>
      <c r="AG12" s="5"/>
      <c r="AH12" s="4"/>
      <c r="AI12" s="4"/>
      <c r="AJ12" s="5"/>
      <c r="AK12" s="4"/>
      <c r="AL12" s="4"/>
      <c r="AM12" s="26">
        <f t="shared" ref="AM12:AM67" si="0">+C12+F12+I12+L12+O12+R12+U12+X12+AA12+AD12+AG12+AJ12</f>
        <v>7212983</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c r="AB13" s="4"/>
      <c r="AC13" s="4"/>
      <c r="AD13" s="5"/>
      <c r="AE13" s="4"/>
      <c r="AF13" s="4"/>
      <c r="AG13" s="5"/>
      <c r="AH13" s="4"/>
      <c r="AI13" s="4"/>
      <c r="AJ13" s="5"/>
      <c r="AK13" s="4"/>
      <c r="AL13" s="4"/>
      <c r="AM13" s="26">
        <f t="shared" si="0"/>
        <v>94629753.839999989</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c r="AB14" s="4"/>
      <c r="AC14" s="4"/>
      <c r="AD14" s="5"/>
      <c r="AE14" s="4"/>
      <c r="AF14" s="4"/>
      <c r="AG14" s="5"/>
      <c r="AH14" s="4"/>
      <c r="AI14" s="4"/>
      <c r="AJ14" s="5"/>
      <c r="AK14" s="4"/>
      <c r="AL14" s="4"/>
      <c r="AM14" s="26">
        <f>+C14+F14+I14+L14+O14+R14+U14+X14+AA14+AD14+AG14+AJ14</f>
        <v>8198211.8000000007</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c r="AB15" s="4"/>
      <c r="AC15" s="4"/>
      <c r="AD15" s="5"/>
      <c r="AE15" s="4"/>
      <c r="AF15" s="4"/>
      <c r="AG15" s="5"/>
      <c r="AH15" s="4"/>
      <c r="AI15" s="4"/>
      <c r="AJ15" s="5"/>
      <c r="AK15" s="4"/>
      <c r="AL15" s="4"/>
      <c r="AM15" s="26">
        <f t="shared" si="0"/>
        <v>9524914.5199999977</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c r="AB16" s="4"/>
      <c r="AC16" s="4"/>
      <c r="AD16" s="5"/>
      <c r="AE16" s="4"/>
      <c r="AF16" s="4"/>
      <c r="AG16" s="5"/>
      <c r="AH16" s="4"/>
      <c r="AI16" s="4"/>
      <c r="AJ16" s="5"/>
      <c r="AK16" s="4"/>
      <c r="AL16" s="4"/>
      <c r="AM16" s="26">
        <f t="shared" si="0"/>
        <v>8083309.080000001</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c r="AB17" s="4"/>
      <c r="AC17" s="4"/>
      <c r="AD17" s="5"/>
      <c r="AE17" s="4"/>
      <c r="AF17" s="4"/>
      <c r="AG17" s="5"/>
      <c r="AH17" s="4"/>
      <c r="AI17" s="4"/>
      <c r="AJ17" s="5"/>
      <c r="AK17" s="4"/>
      <c r="AL17" s="4"/>
      <c r="AM17" s="26">
        <f t="shared" si="0"/>
        <v>18244972.809999999</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c r="AB18" s="4"/>
      <c r="AC18" s="4"/>
      <c r="AD18" s="5"/>
      <c r="AE18" s="4"/>
      <c r="AF18" s="4"/>
      <c r="AG18" s="5"/>
      <c r="AH18" s="4"/>
      <c r="AI18" s="4"/>
      <c r="AJ18" s="5"/>
      <c r="AK18" s="4"/>
      <c r="AL18" s="4"/>
      <c r="AM18" s="26">
        <f>+C18+F18+I18+L18+O18+R18+U18+X18+AA18+AD18+AG18+AJ18</f>
        <v>2319478.7199999997</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c r="AB19" s="4"/>
      <c r="AC19" s="4"/>
      <c r="AD19" s="5"/>
      <c r="AE19" s="4"/>
      <c r="AF19" s="4"/>
      <c r="AG19" s="5"/>
      <c r="AH19" s="4"/>
      <c r="AI19" s="4"/>
      <c r="AJ19" s="5"/>
      <c r="AK19" s="4"/>
      <c r="AL19" s="4"/>
      <c r="AM19" s="26">
        <f t="shared" si="0"/>
        <v>10519246.619999999</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c r="AB20" s="4"/>
      <c r="AC20" s="4"/>
      <c r="AD20" s="5"/>
      <c r="AE20" s="4"/>
      <c r="AF20" s="4"/>
      <c r="AG20" s="5"/>
      <c r="AH20" s="4"/>
      <c r="AI20" s="4"/>
      <c r="AJ20" s="5"/>
      <c r="AK20" s="4"/>
      <c r="AL20" s="4"/>
      <c r="AM20" s="26">
        <f t="shared" si="0"/>
        <v>9567620.120000001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c r="AB21" s="4"/>
      <c r="AC21" s="4"/>
      <c r="AD21" s="5"/>
      <c r="AE21" s="4"/>
      <c r="AF21" s="4"/>
      <c r="AG21" s="5"/>
      <c r="AH21" s="4"/>
      <c r="AI21" s="4"/>
      <c r="AJ21" s="5"/>
      <c r="AK21" s="4"/>
      <c r="AL21" s="4"/>
      <c r="AM21" s="26">
        <f t="shared" si="0"/>
        <v>10811984.619999999</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c r="AB22" s="4"/>
      <c r="AC22" s="4"/>
      <c r="AD22" s="5"/>
      <c r="AE22" s="4"/>
      <c r="AF22" s="4"/>
      <c r="AG22" s="5"/>
      <c r="AH22" s="4"/>
      <c r="AI22" s="4"/>
      <c r="AJ22" s="5"/>
      <c r="AK22" s="4"/>
      <c r="AL22" s="4"/>
      <c r="AM22" s="26">
        <f t="shared" si="0"/>
        <v>18330696.170000002</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c r="AB23" s="4"/>
      <c r="AC23" s="4"/>
      <c r="AD23" s="5"/>
      <c r="AE23" s="4"/>
      <c r="AF23" s="4"/>
      <c r="AG23" s="5"/>
      <c r="AH23" s="4"/>
      <c r="AI23" s="4"/>
      <c r="AJ23" s="5"/>
      <c r="AK23" s="4"/>
      <c r="AL23" s="4"/>
      <c r="AM23" s="26">
        <f t="shared" si="0"/>
        <v>7726615.8400000008</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c r="AB24" s="4"/>
      <c r="AC24" s="4"/>
      <c r="AD24" s="5"/>
      <c r="AE24" s="4"/>
      <c r="AF24" s="4"/>
      <c r="AG24" s="5"/>
      <c r="AH24" s="4"/>
      <c r="AI24" s="4"/>
      <c r="AJ24" s="5"/>
      <c r="AK24" s="4"/>
      <c r="AL24" s="4"/>
      <c r="AM24" s="26">
        <f t="shared" si="0"/>
        <v>16314851.219999999</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c r="AB25" s="4"/>
      <c r="AC25" s="4"/>
      <c r="AD25" s="5"/>
      <c r="AE25" s="4"/>
      <c r="AF25" s="4"/>
      <c r="AG25" s="5"/>
      <c r="AH25" s="4"/>
      <c r="AI25" s="4"/>
      <c r="AJ25" s="5"/>
      <c r="AK25" s="4"/>
      <c r="AL25" s="4"/>
      <c r="AM25" s="26">
        <f t="shared" si="0"/>
        <v>41003728</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c r="AB26" s="4"/>
      <c r="AC26" s="4"/>
      <c r="AD26" s="5"/>
      <c r="AE26" s="4"/>
      <c r="AF26" s="4"/>
      <c r="AG26" s="5"/>
      <c r="AH26" s="4"/>
      <c r="AI26" s="4"/>
      <c r="AJ26" s="5"/>
      <c r="AK26" s="4"/>
      <c r="AL26" s="4"/>
      <c r="AM26" s="26">
        <f t="shared" si="0"/>
        <v>44761830.669999994</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c r="AB27" s="4"/>
      <c r="AC27" s="4"/>
      <c r="AD27" s="5"/>
      <c r="AE27" s="4"/>
      <c r="AF27" s="4"/>
      <c r="AG27" s="5"/>
      <c r="AH27" s="4"/>
      <c r="AI27" s="4"/>
      <c r="AJ27" s="5"/>
      <c r="AK27" s="4"/>
      <c r="AL27" s="4"/>
      <c r="AM27" s="26">
        <f t="shared" si="0"/>
        <v>6515965.54</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c r="AB28" s="4"/>
      <c r="AC28" s="4"/>
      <c r="AD28" s="5"/>
      <c r="AE28" s="4"/>
      <c r="AF28" s="4"/>
      <c r="AG28" s="5"/>
      <c r="AH28" s="4"/>
      <c r="AI28" s="4"/>
      <c r="AJ28" s="5"/>
      <c r="AK28" s="4"/>
      <c r="AL28" s="4"/>
      <c r="AM28" s="26">
        <f t="shared" si="0"/>
        <v>29696253.240000002</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c r="AB29" s="4"/>
      <c r="AC29" s="4"/>
      <c r="AD29" s="5"/>
      <c r="AE29" s="4"/>
      <c r="AF29" s="4"/>
      <c r="AG29" s="5"/>
      <c r="AH29" s="4"/>
      <c r="AI29" s="4"/>
      <c r="AJ29" s="5"/>
      <c r="AK29" s="4"/>
      <c r="AL29" s="4"/>
      <c r="AM29" s="26">
        <f t="shared" si="0"/>
        <v>26408405.599999998</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c r="AB30" s="4"/>
      <c r="AC30" s="4"/>
      <c r="AD30" s="5"/>
      <c r="AE30" s="4"/>
      <c r="AF30" s="4"/>
      <c r="AG30" s="5"/>
      <c r="AH30" s="4"/>
      <c r="AI30" s="4"/>
      <c r="AJ30" s="5"/>
      <c r="AK30" s="4"/>
      <c r="AL30" s="4"/>
      <c r="AM30" s="26">
        <f t="shared" si="0"/>
        <v>21126912.589999996</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c r="AB31" s="4"/>
      <c r="AC31" s="4"/>
      <c r="AD31" s="5"/>
      <c r="AE31" s="4"/>
      <c r="AF31" s="4"/>
      <c r="AG31" s="5"/>
      <c r="AH31" s="4"/>
      <c r="AI31" s="4"/>
      <c r="AJ31" s="5"/>
      <c r="AK31" s="4"/>
      <c r="AL31" s="4"/>
      <c r="AM31" s="26">
        <f t="shared" si="0"/>
        <v>13880904.16</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c r="AB32" s="4"/>
      <c r="AC32" s="4"/>
      <c r="AD32" s="5"/>
      <c r="AE32" s="4"/>
      <c r="AF32" s="4"/>
      <c r="AG32" s="5"/>
      <c r="AH32" s="4"/>
      <c r="AI32" s="4"/>
      <c r="AJ32" s="5"/>
      <c r="AK32" s="4"/>
      <c r="AL32" s="4"/>
      <c r="AM32" s="26">
        <f t="shared" si="0"/>
        <v>33778834.990000002</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c r="AB33" s="4"/>
      <c r="AC33" s="4"/>
      <c r="AD33" s="5"/>
      <c r="AE33" s="4"/>
      <c r="AF33" s="4"/>
      <c r="AG33" s="5"/>
      <c r="AH33" s="4"/>
      <c r="AI33" s="4"/>
      <c r="AJ33" s="5"/>
      <c r="AK33" s="4"/>
      <c r="AL33" s="4"/>
      <c r="AM33" s="26">
        <f t="shared" si="0"/>
        <v>3439294.7499999995</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c r="AB34" s="4"/>
      <c r="AC34" s="4"/>
      <c r="AD34" s="5"/>
      <c r="AE34" s="4"/>
      <c r="AF34" s="4"/>
      <c r="AG34" s="5"/>
      <c r="AH34" s="4"/>
      <c r="AI34" s="4"/>
      <c r="AJ34" s="5"/>
      <c r="AK34" s="4"/>
      <c r="AL34" s="4"/>
      <c r="AM34" s="26">
        <f t="shared" si="0"/>
        <v>4992529.3899999997</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c r="AB35" s="4"/>
      <c r="AC35" s="4"/>
      <c r="AD35" s="5"/>
      <c r="AE35" s="4"/>
      <c r="AF35" s="4"/>
      <c r="AG35" s="5"/>
      <c r="AH35" s="4"/>
      <c r="AI35" s="4"/>
      <c r="AJ35" s="5"/>
      <c r="AK35" s="4"/>
      <c r="AL35" s="4"/>
      <c r="AM35" s="26">
        <f t="shared" si="0"/>
        <v>6619705.8200000003</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c r="AB36" s="4"/>
      <c r="AC36" s="4"/>
      <c r="AD36" s="5"/>
      <c r="AE36" s="4"/>
      <c r="AF36" s="4"/>
      <c r="AG36" s="5"/>
      <c r="AH36" s="4"/>
      <c r="AI36" s="4"/>
      <c r="AJ36" s="5"/>
      <c r="AK36" s="4"/>
      <c r="AL36" s="4"/>
      <c r="AM36" s="26">
        <f t="shared" si="0"/>
        <v>8960271</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c r="AB37" s="4"/>
      <c r="AC37" s="4"/>
      <c r="AD37" s="5"/>
      <c r="AE37" s="4"/>
      <c r="AF37" s="4"/>
      <c r="AG37" s="5"/>
      <c r="AH37" s="4"/>
      <c r="AI37" s="4"/>
      <c r="AJ37" s="5"/>
      <c r="AK37" s="4"/>
      <c r="AL37" s="4"/>
      <c r="AM37" s="26">
        <f t="shared" si="0"/>
        <v>14557451.519999998</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c r="AB38" s="4"/>
      <c r="AC38" s="4"/>
      <c r="AD38" s="5"/>
      <c r="AE38" s="4"/>
      <c r="AF38" s="4"/>
      <c r="AG38" s="5"/>
      <c r="AH38" s="4"/>
      <c r="AI38" s="4"/>
      <c r="AJ38" s="5"/>
      <c r="AK38" s="4"/>
      <c r="AL38" s="4"/>
      <c r="AM38" s="26">
        <f t="shared" si="0"/>
        <v>7224854.5600000005</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c r="AB39" s="4"/>
      <c r="AC39" s="4"/>
      <c r="AD39" s="5"/>
      <c r="AE39" s="4"/>
      <c r="AF39" s="4"/>
      <c r="AG39" s="5"/>
      <c r="AH39" s="4"/>
      <c r="AI39" s="4"/>
      <c r="AJ39" s="5"/>
      <c r="AK39" s="4"/>
      <c r="AL39" s="4"/>
      <c r="AM39" s="26">
        <f t="shared" si="0"/>
        <v>65799547.99000001</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c r="AB40" s="4"/>
      <c r="AC40" s="4"/>
      <c r="AD40" s="5"/>
      <c r="AE40" s="4"/>
      <c r="AF40" s="4"/>
      <c r="AG40" s="5"/>
      <c r="AH40" s="4"/>
      <c r="AI40" s="4"/>
      <c r="AJ40" s="5"/>
      <c r="AK40" s="4"/>
      <c r="AL40" s="4"/>
      <c r="AM40" s="26">
        <f t="shared" si="0"/>
        <v>43488180.909999996</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c r="AB41" s="4"/>
      <c r="AC41" s="4"/>
      <c r="AD41" s="5"/>
      <c r="AE41" s="4"/>
      <c r="AF41" s="4"/>
      <c r="AG41" s="5"/>
      <c r="AH41" s="4"/>
      <c r="AI41" s="4"/>
      <c r="AJ41" s="5"/>
      <c r="AK41" s="4"/>
      <c r="AL41" s="4"/>
      <c r="AM41" s="26">
        <f t="shared" si="0"/>
        <v>55627409.670000002</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c r="AB42" s="4"/>
      <c r="AC42" s="4"/>
      <c r="AD42" s="5"/>
      <c r="AE42" s="4"/>
      <c r="AF42" s="4"/>
      <c r="AG42" s="5"/>
      <c r="AH42" s="4"/>
      <c r="AI42" s="4"/>
      <c r="AJ42" s="5"/>
      <c r="AK42" s="4"/>
      <c r="AL42" s="4"/>
      <c r="AM42" s="26">
        <f t="shared" si="0"/>
        <v>13012069.74</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c r="AB43" s="4"/>
      <c r="AC43" s="4"/>
      <c r="AD43" s="5"/>
      <c r="AE43" s="4"/>
      <c r="AF43" s="4"/>
      <c r="AG43" s="5"/>
      <c r="AH43" s="4"/>
      <c r="AI43" s="4"/>
      <c r="AJ43" s="5"/>
      <c r="AK43" s="4"/>
      <c r="AL43" s="4"/>
      <c r="AM43" s="26">
        <f t="shared" si="0"/>
        <v>42048970.080000006</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c r="AB44" s="4"/>
      <c r="AC44" s="4"/>
      <c r="AD44" s="5"/>
      <c r="AE44" s="4"/>
      <c r="AF44" s="4"/>
      <c r="AG44" s="5"/>
      <c r="AH44" s="4"/>
      <c r="AI44" s="4"/>
      <c r="AJ44" s="5"/>
      <c r="AK44" s="4"/>
      <c r="AL44" s="4"/>
      <c r="AM44" s="26">
        <f t="shared" si="0"/>
        <v>39236410.560000002</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c r="AB45" s="4"/>
      <c r="AC45" s="4"/>
      <c r="AD45" s="5"/>
      <c r="AE45" s="4"/>
      <c r="AF45" s="4"/>
      <c r="AG45" s="5"/>
      <c r="AH45" s="4"/>
      <c r="AI45" s="4"/>
      <c r="AJ45" s="5"/>
      <c r="AK45" s="4"/>
      <c r="AL45" s="4"/>
      <c r="AM45" s="26">
        <f t="shared" si="0"/>
        <v>39521926.07</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c r="AB46" s="4"/>
      <c r="AC46" s="4"/>
      <c r="AD46" s="5"/>
      <c r="AE46" s="4"/>
      <c r="AF46" s="4"/>
      <c r="AG46" s="5"/>
      <c r="AH46" s="4"/>
      <c r="AI46" s="4"/>
      <c r="AJ46" s="5"/>
      <c r="AK46" s="4"/>
      <c r="AL46" s="4"/>
      <c r="AM46" s="26">
        <f t="shared" si="0"/>
        <v>43236403.719999999</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c r="AB47" s="4"/>
      <c r="AC47" s="4"/>
      <c r="AD47" s="5"/>
      <c r="AE47" s="4"/>
      <c r="AF47" s="4"/>
      <c r="AG47" s="5"/>
      <c r="AH47" s="4"/>
      <c r="AI47" s="4"/>
      <c r="AJ47" s="5"/>
      <c r="AK47" s="4"/>
      <c r="AL47" s="4"/>
      <c r="AM47" s="26">
        <f t="shared" si="0"/>
        <v>53020416.890000001</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c r="AB48" s="4"/>
      <c r="AC48" s="4"/>
      <c r="AD48" s="5"/>
      <c r="AE48" s="4"/>
      <c r="AF48" s="4"/>
      <c r="AG48" s="5"/>
      <c r="AH48" s="4"/>
      <c r="AI48" s="4"/>
      <c r="AJ48" s="5"/>
      <c r="AK48" s="4"/>
      <c r="AL48" s="4"/>
      <c r="AM48" s="26">
        <f t="shared" si="0"/>
        <v>84329080.739999995</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c r="AB49" s="4"/>
      <c r="AC49" s="4"/>
      <c r="AD49" s="5"/>
      <c r="AE49" s="4"/>
      <c r="AF49" s="4"/>
      <c r="AG49" s="5"/>
      <c r="AH49" s="4"/>
      <c r="AI49" s="4"/>
      <c r="AJ49" s="5"/>
      <c r="AK49" s="4"/>
      <c r="AL49" s="4"/>
      <c r="AM49" s="26">
        <f t="shared" si="0"/>
        <v>20445087.389999997</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c r="AB50" s="4"/>
      <c r="AC50" s="4"/>
      <c r="AD50" s="5"/>
      <c r="AE50" s="4"/>
      <c r="AF50" s="4"/>
      <c r="AG50" s="5"/>
      <c r="AH50" s="4"/>
      <c r="AI50" s="4"/>
      <c r="AJ50" s="5"/>
      <c r="AK50" s="4"/>
      <c r="AL50" s="4"/>
      <c r="AM50" s="26">
        <f t="shared" si="0"/>
        <v>59825044.309999995</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c r="AB51" s="4"/>
      <c r="AC51" s="4"/>
      <c r="AD51" s="5"/>
      <c r="AE51" s="4"/>
      <c r="AF51" s="4"/>
      <c r="AG51" s="5"/>
      <c r="AH51" s="4"/>
      <c r="AI51" s="4"/>
      <c r="AJ51" s="5"/>
      <c r="AK51" s="4"/>
      <c r="AL51" s="4"/>
      <c r="AM51" s="26">
        <f t="shared" si="0"/>
        <v>94131268.480000004</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c r="AB52" s="4"/>
      <c r="AC52" s="4"/>
      <c r="AD52" s="5"/>
      <c r="AE52" s="4"/>
      <c r="AF52" s="4"/>
      <c r="AG52" s="5"/>
      <c r="AH52" s="4"/>
      <c r="AI52" s="4"/>
      <c r="AJ52" s="5"/>
      <c r="AK52" s="4"/>
      <c r="AL52" s="4"/>
      <c r="AM52" s="26">
        <f t="shared" si="0"/>
        <v>45638082.460000001</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c r="AB53" s="4"/>
      <c r="AC53" s="4"/>
      <c r="AD53" s="5"/>
      <c r="AE53" s="4"/>
      <c r="AF53" s="4"/>
      <c r="AG53" s="5"/>
      <c r="AH53" s="4"/>
      <c r="AI53" s="4"/>
      <c r="AJ53" s="5"/>
      <c r="AK53" s="4"/>
      <c r="AL53" s="4"/>
      <c r="AM53" s="26">
        <f t="shared" si="0"/>
        <v>111312262.52</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c r="AB54" s="4"/>
      <c r="AC54" s="4"/>
      <c r="AD54" s="5"/>
      <c r="AE54" s="4"/>
      <c r="AF54" s="4"/>
      <c r="AG54" s="5"/>
      <c r="AH54" s="4"/>
      <c r="AI54" s="4"/>
      <c r="AJ54" s="5"/>
      <c r="AK54" s="4"/>
      <c r="AL54" s="4"/>
      <c r="AM54" s="26">
        <f t="shared" si="0"/>
        <v>26155321.370000001</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c r="AB55" s="4"/>
      <c r="AC55" s="4"/>
      <c r="AD55" s="5"/>
      <c r="AE55" s="4"/>
      <c r="AF55" s="4"/>
      <c r="AG55" s="5"/>
      <c r="AH55" s="4"/>
      <c r="AI55" s="4"/>
      <c r="AJ55" s="5"/>
      <c r="AK55" s="4"/>
      <c r="AL55" s="4"/>
      <c r="AM55" s="26">
        <f t="shared" si="0"/>
        <v>19987258.650000002</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c r="AB56" s="4"/>
      <c r="AC56" s="4"/>
      <c r="AD56" s="5"/>
      <c r="AE56" s="4"/>
      <c r="AF56" s="4"/>
      <c r="AG56" s="5"/>
      <c r="AH56" s="4"/>
      <c r="AI56" s="4"/>
      <c r="AJ56" s="5"/>
      <c r="AK56" s="4"/>
      <c r="AL56" s="4"/>
      <c r="AM56" s="26">
        <f t="shared" si="0"/>
        <v>97738807.900000006</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c r="AB57" s="4"/>
      <c r="AC57" s="4"/>
      <c r="AD57" s="5"/>
      <c r="AE57" s="4"/>
      <c r="AF57" s="4"/>
      <c r="AG57" s="5"/>
      <c r="AH57" s="4"/>
      <c r="AI57" s="4"/>
      <c r="AJ57" s="5"/>
      <c r="AK57" s="4"/>
      <c r="AL57" s="4"/>
      <c r="AM57" s="26">
        <f t="shared" si="0"/>
        <v>116582959.23999999</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c r="AB58" s="4"/>
      <c r="AC58" s="4"/>
      <c r="AD58" s="5"/>
      <c r="AE58" s="4"/>
      <c r="AF58" s="4"/>
      <c r="AG58" s="5"/>
      <c r="AH58" s="4"/>
      <c r="AI58" s="4"/>
      <c r="AJ58" s="5"/>
      <c r="AK58" s="4"/>
      <c r="AL58" s="4"/>
      <c r="AM58" s="26">
        <f t="shared" si="0"/>
        <v>63633927.18</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c r="AB59" s="4"/>
      <c r="AC59" s="4"/>
      <c r="AD59" s="5"/>
      <c r="AE59" s="4"/>
      <c r="AF59" s="4"/>
      <c r="AG59" s="5"/>
      <c r="AH59" s="4"/>
      <c r="AI59" s="4"/>
      <c r="AJ59" s="5"/>
      <c r="AK59" s="4"/>
      <c r="AL59" s="4"/>
      <c r="AM59" s="26">
        <f t="shared" si="0"/>
        <v>34016583.650000006</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c r="AB60" s="4"/>
      <c r="AC60" s="4"/>
      <c r="AD60" s="5"/>
      <c r="AE60" s="4"/>
      <c r="AF60" s="4"/>
      <c r="AG60" s="5"/>
      <c r="AH60" s="4"/>
      <c r="AI60" s="4"/>
      <c r="AJ60" s="5"/>
      <c r="AK60" s="4"/>
      <c r="AL60" s="4"/>
      <c r="AM60" s="26">
        <f t="shared" si="0"/>
        <v>88029102.390000001</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c r="AB61" s="4"/>
      <c r="AC61" s="4"/>
      <c r="AD61" s="5"/>
      <c r="AE61" s="4"/>
      <c r="AF61" s="4"/>
      <c r="AG61" s="5"/>
      <c r="AH61" s="4"/>
      <c r="AI61" s="4"/>
      <c r="AJ61" s="5"/>
      <c r="AK61" s="4"/>
      <c r="AL61" s="4"/>
      <c r="AM61" s="26">
        <f t="shared" si="0"/>
        <v>59898196.840000004</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c r="AB62" s="4"/>
      <c r="AC62" s="4"/>
      <c r="AD62" s="5"/>
      <c r="AE62" s="4"/>
      <c r="AF62" s="4"/>
      <c r="AG62" s="5"/>
      <c r="AH62" s="4"/>
      <c r="AI62" s="4"/>
      <c r="AJ62" s="5"/>
      <c r="AK62" s="4"/>
      <c r="AL62" s="4"/>
      <c r="AM62" s="26">
        <f t="shared" si="0"/>
        <v>21007930.939999998</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c r="AB63" s="4"/>
      <c r="AC63" s="4"/>
      <c r="AD63" s="5"/>
      <c r="AE63" s="4"/>
      <c r="AF63" s="4"/>
      <c r="AG63" s="5"/>
      <c r="AH63" s="4"/>
      <c r="AI63" s="4"/>
      <c r="AJ63" s="5"/>
      <c r="AK63" s="4"/>
      <c r="AL63" s="4"/>
      <c r="AM63" s="26">
        <f t="shared" si="0"/>
        <v>46194414.589999996</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c r="AB64" s="4"/>
      <c r="AC64" s="4"/>
      <c r="AD64" s="5"/>
      <c r="AE64" s="4"/>
      <c r="AF64" s="4"/>
      <c r="AG64" s="5"/>
      <c r="AH64" s="4"/>
      <c r="AI64" s="4"/>
      <c r="AJ64" s="5"/>
      <c r="AK64" s="4"/>
      <c r="AL64" s="4"/>
      <c r="AM64" s="26">
        <f t="shared" si="0"/>
        <v>13138035.490000002</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c r="AB65" s="4"/>
      <c r="AC65" s="4"/>
      <c r="AD65" s="5"/>
      <c r="AE65" s="4"/>
      <c r="AF65" s="4"/>
      <c r="AG65" s="5"/>
      <c r="AH65" s="4"/>
      <c r="AI65" s="4"/>
      <c r="AJ65" s="5"/>
      <c r="AK65" s="4"/>
      <c r="AL65" s="4"/>
      <c r="AM65" s="26">
        <f>+C65+F65+I65+L65+O65+R65+U65+X65+AA65+AD65+AG65+AJ65</f>
        <v>49586894.750000007</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c r="AB66" s="4"/>
      <c r="AC66" s="4"/>
      <c r="AD66" s="5"/>
      <c r="AE66" s="4"/>
      <c r="AF66" s="4"/>
      <c r="AG66" s="5"/>
      <c r="AH66" s="4"/>
      <c r="AI66" s="4"/>
      <c r="AJ66" s="5"/>
      <c r="AK66" s="4"/>
      <c r="AL66" s="4"/>
      <c r="AM66" s="26">
        <f t="shared" si="0"/>
        <v>8231008.8300000001</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c r="AB67" s="4"/>
      <c r="AC67" s="4"/>
      <c r="AD67" s="5"/>
      <c r="AE67" s="4"/>
      <c r="AF67" s="4"/>
      <c r="AG67" s="5"/>
      <c r="AH67" s="4"/>
      <c r="AI67" s="4"/>
      <c r="AJ67" s="5"/>
      <c r="AK67" s="4"/>
      <c r="AL67" s="4"/>
      <c r="AM67" s="26">
        <f t="shared" si="0"/>
        <v>57818803.990000002</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0</v>
      </c>
      <c r="AB70" s="59">
        <f>SUM(AB11:AB69)</f>
        <v>0</v>
      </c>
      <c r="AC70" s="59">
        <f t="shared" si="1"/>
        <v>0</v>
      </c>
      <c r="AD70" s="58">
        <f t="shared" si="1"/>
        <v>0</v>
      </c>
      <c r="AE70" s="59">
        <f t="shared" si="1"/>
        <v>0</v>
      </c>
      <c r="AF70" s="59">
        <f t="shared" si="1"/>
        <v>0</v>
      </c>
      <c r="AG70" s="58">
        <f>SUM(AG11:AG69)</f>
        <v>0</v>
      </c>
      <c r="AH70" s="59">
        <f t="shared" si="1"/>
        <v>0</v>
      </c>
      <c r="AI70" s="59">
        <f t="shared" si="1"/>
        <v>0</v>
      </c>
      <c r="AJ70" s="58">
        <f>SUM(AJ11:AJ69)</f>
        <v>0</v>
      </c>
      <c r="AK70" s="59">
        <f>SUM(AK11:AK69)</f>
        <v>0</v>
      </c>
      <c r="AL70" s="59">
        <f>SUM(AL11:AL69)</f>
        <v>0</v>
      </c>
      <c r="AM70" s="58">
        <f>SUM(AM11:AM67)</f>
        <v>2100131815.2000003</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3.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VGCCC-959767282-46231</_dlc_DocId>
    <TaxCatchAll xmlns="236b3a9f-a140-4b1e-93e8-cdba4b02ab7f">
      <Value>8</Value>
    </TaxCatchAll>
    <_dlc_DocIdUrl xmlns="008ced81-bb59-45e2-a4a0-ee95ac48c905">
      <Url>https://vgcccvicgovau.sharepoint.com/sites/SDIV-IntelligenceInsights/_layouts/15/DocIdRedir.aspx?ID=VGCCC-959767282-46231</Url>
      <Description>VGCCC-959767282-46231</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3.xml><?xml version="1.0" encoding="utf-8"?>
<ds:datastoreItem xmlns:ds="http://schemas.openxmlformats.org/officeDocument/2006/customXml" ds:itemID="{D191BFFE-7A4B-48BF-A687-E0F2A126352F}">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08ced81-bb59-45e2-a4a0-ee95ac48c905"/>
    <ds:schemaRef ds:uri="236b3a9f-a140-4b1e-93e8-cdba4b02ab7f"/>
    <ds:schemaRef ds:uri="http://www.w3.org/XML/1998/namespace"/>
    <ds:schemaRef ds:uri="http://purl.org/dc/dcmitype/"/>
  </ds:schemaRefs>
</ds:datastoreItem>
</file>

<file path=customXml/itemProps4.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5.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6.xml><?xml version="1.0" encoding="utf-8"?>
<ds:datastoreItem xmlns:ds="http://schemas.openxmlformats.org/officeDocument/2006/customXml" ds:itemID="{DEE0614E-0BA1-49EA-960F-384B1ADAF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2024-2025</vt:lpstr>
      <vt:lpstr>Detail Data 2023-2024</vt:lpstr>
      <vt:lpstr>Detail Data 2022-2023</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2025-03-11T03:04:59Z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1a28bee1-a9b8-4f6e-9fe8-3cd22a4c65a7</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