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8. Feb 2025/"/>
    </mc:Choice>
  </mc:AlternateContent>
  <xr:revisionPtr revIDLastSave="204" documentId="13_ncr:1_{F55B6D92-7297-49F2-9F90-FCD5B0C619EA}" xr6:coauthVersionLast="47" xr6:coauthVersionMax="47" xr10:uidLastSave="{DF169C5E-966D-4929-88A4-AC960F0547C6}"/>
  <bookViews>
    <workbookView xWindow="-120" yWindow="-120" windowWidth="29040" windowHeight="17790" tabRatio="710"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18-2019" sheetId="4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35" l="1"/>
  <c r="AM19" i="48"/>
  <c r="AM21" i="48"/>
  <c r="AM22" i="48"/>
  <c r="AM23" i="48"/>
  <c r="AM29" i="48"/>
  <c r="AM30" i="48"/>
  <c r="AM31" i="48"/>
  <c r="AM32" i="48"/>
  <c r="AM34" i="48"/>
  <c r="AM35" i="48"/>
  <c r="AM45" i="48"/>
  <c r="AM46" i="48"/>
  <c r="AM47" i="48"/>
  <c r="AM51" i="48"/>
  <c r="AM53" i="48"/>
  <c r="AM54" i="48"/>
  <c r="AM55" i="48"/>
  <c r="AM56" i="48"/>
  <c r="AM57" i="48"/>
  <c r="AM58" i="48"/>
  <c r="AM59" i="48"/>
  <c r="AM61" i="48"/>
  <c r="AM63" i="48"/>
  <c r="AM67" i="48"/>
  <c r="B25" i="35"/>
  <c r="U70" i="48"/>
  <c r="AM14" i="48"/>
  <c r="AM15" i="48"/>
  <c r="AM38" i="48"/>
  <c r="AM39" i="48"/>
  <c r="AM49" i="48"/>
  <c r="AM62" i="48"/>
  <c r="T70" i="48"/>
  <c r="AM26" i="48"/>
  <c r="AM27" i="48"/>
  <c r="AM33" i="48"/>
  <c r="AM50" i="48"/>
  <c r="B23" i="35"/>
  <c r="AM12" i="48"/>
  <c r="AM13" i="48"/>
  <c r="AM16" i="48"/>
  <c r="AM17" i="48"/>
  <c r="AM18" i="48"/>
  <c r="AM20" i="48"/>
  <c r="AM24" i="48"/>
  <c r="AM25" i="48"/>
  <c r="AM28" i="48"/>
  <c r="AM36" i="48"/>
  <c r="AM37" i="48"/>
  <c r="AM40" i="48"/>
  <c r="AM41" i="48"/>
  <c r="AM42" i="48"/>
  <c r="AM43" i="48"/>
  <c r="AM44" i="48"/>
  <c r="AM48" i="48"/>
  <c r="AM52" i="48"/>
  <c r="AM60" i="48"/>
  <c r="AM64" i="48"/>
  <c r="AM65" i="48"/>
  <c r="AM66" i="48"/>
  <c r="N70" i="48"/>
  <c r="M70" i="48"/>
  <c r="C21" i="35"/>
  <c r="B20" i="35"/>
  <c r="B19" i="35"/>
  <c r="E31" i="35"/>
  <c r="D29" i="35"/>
  <c r="C29" i="35"/>
  <c r="B29" i="35"/>
  <c r="D28" i="35"/>
  <c r="C28" i="35"/>
  <c r="B28" i="35"/>
  <c r="D27" i="35"/>
  <c r="C27" i="35"/>
  <c r="B27" i="35"/>
  <c r="D26" i="35"/>
  <c r="C26" i="35"/>
  <c r="B26" i="35"/>
  <c r="C25" i="35"/>
  <c r="B24" i="35"/>
  <c r="D23" i="35"/>
  <c r="D22" i="35"/>
  <c r="C22" i="35"/>
  <c r="D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AL70" i="48"/>
  <c r="AK70" i="48"/>
  <c r="AJ70" i="48"/>
  <c r="AI70" i="48"/>
  <c r="AH70" i="48"/>
  <c r="AG70" i="48"/>
  <c r="AF70" i="48"/>
  <c r="AE70" i="48"/>
  <c r="AD70" i="48"/>
  <c r="AC70" i="48"/>
  <c r="AB70" i="48"/>
  <c r="AA70" i="48"/>
  <c r="Y70" i="48"/>
  <c r="Q70" i="48"/>
  <c r="P70" i="48"/>
  <c r="K70" i="48"/>
  <c r="J70" i="48"/>
  <c r="H70" i="48"/>
  <c r="G70" i="48"/>
  <c r="E70" i="48"/>
  <c r="D70" i="48"/>
  <c r="Z70" i="48" l="1"/>
  <c r="X70" i="48"/>
  <c r="V70" i="48"/>
  <c r="W70" i="48"/>
  <c r="D24" i="35"/>
  <c r="C24" i="35"/>
  <c r="S70" i="48"/>
  <c r="C23" i="35"/>
  <c r="R70" i="48"/>
  <c r="B22" i="35"/>
  <c r="O70" i="48"/>
  <c r="L70" i="48"/>
  <c r="B21" i="35"/>
  <c r="I70" i="48"/>
  <c r="F70" i="48"/>
  <c r="AM11" i="48"/>
  <c r="B31" i="35" s="1"/>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<sst xmlns="http://schemas.openxmlformats.org/spreadsheetml/2006/main" count="831" uniqueCount="121">
  <si>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</si>
  <si>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</si>
  <si>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</si>
  <si>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</si>
  <si>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</si>
  <si>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</si>
  <si>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</si>
  <si>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</si>
  <si>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</si>
  <si>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</si>
  <si>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</si>
  <si>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</si>
  <si>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</si>
  <si>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</si>
  <si>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</si>
  <si>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</si>
  <si>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</si>
  <si>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</si>
  <si>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</si>
  <si>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</si>
  <si>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</si>
  <si>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</si>
  <si>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</si>
  <si>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</si>
  <si>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</si>
  <si>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</si>
  <si>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</si>
  <si>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</si>
  <si>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</si>
  <si>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</si>
  <si>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</si>
  <si>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</si>
  <si>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</si>
  <si>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</si>
  <si>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</si>
  <si>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</si>
  <si>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</si>
  <si>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</si>
  <si>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</si>
  <si>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</si>
  <si>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</si>
  <si>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</si>
  <si>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</si>
  <si>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</si>
  <si>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</si>
  <si>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</si>
  <si>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</si>
  <si>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</si>
  <si>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</si>
  <si>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</si>
  <si>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</si>
  <si>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</si>
  <si>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</si>
  <si>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</si>
  <si>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</si>
  <si>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</si>
  <si>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</si>
  <si>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</si>
  <si>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</si>
  <si>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</si>
  <si>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</si>
  <si>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</si>
  <si>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</si>
  <si>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</si>
  <si>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</si>
  <si>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</si>
  <si>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</si>
  <si>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</si>
  <si>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</si>
  <si>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</si>
  <si>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</si>
  <si>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</si>
  <si>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</si>
  <si>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</si>
  <si>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</si>
  <si>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</si>
  <si>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</si>
  <si>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</si>
  <si>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</si>
  <si>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</si>
  <si>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</si>
  <si>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</si>
  <si>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</si>
  <si>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</si>
  <si>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</si>
  <si>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</si>
  <si>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</si>
  <si>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</si>
  <si>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</si>
  <si>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</si>
  <si>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</si>
  <si>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</si>
  <si>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</si>
  <si>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</si>
  <si>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</si>
  <si>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</si>
  <si>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</si>
  <si>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</si>
  <si>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</si>
  <si>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</si>
  <si>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</si>
  <si>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</si>
  <si>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</si>
  <si>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</si>
  <si>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</si>
  <si>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</si>
  <si>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</si>
  <si>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</si>
  <si>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</si>
  <si>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</si>
  <si>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</si>
  <si>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</si>
  <si>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</si>
  <si>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</si>
  <si>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</si>
  <si>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2018/2019</t>
  </si>
  <si>
    <t>Published: 26 July 2019</t>
  </si>
  <si>
    <t>Published: 26 July 2024</t>
  </si>
  <si>
    <t>2024/2025</t>
  </si>
  <si>
    <t>2024 / 2025</t>
  </si>
  <si>
    <t>Published: 28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</si>
</sst>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9525</xdr:rowOff>
    </xdr:from>
    <xdr:to>
      <xdr:col>10</xdr:col>
      <xdr:colOff>115164</xdr:colOff>
      <xdr:row>5</xdr:row>
      <xdr:rowOff>209678</xdr:rowOff>
    </xdr:to>
    <xdr:pic>
      <xdr:nvPicPr>
        <xdr:cNvPr id="2" name="Picture 1">
          <a:extLst>
            <a:ext uri="{FF2B5EF4-FFF2-40B4-BE49-F238E27FC236}">
              <a16:creationId xmlns:a16="http://schemas.microsoft.com/office/drawing/2014/main" id="{F99CB81E-2F45-49B6-885B-8F12FB8CCD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9525"/>
          <a:ext cx="6458814" cy="866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150089</xdr:colOff>
      <xdr:row>6</xdr:row>
      <xdr:rowOff>6478</xdr:rowOff>
    </xdr:to>
    <xdr:pic>
      <xdr:nvPicPr>
        <xdr:cNvPr id="2" name="Picture 1">
          <a:extLst>
            <a:ext uri="{FF2B5EF4-FFF2-40B4-BE49-F238E27FC236}">
              <a16:creationId xmlns:a16="http://schemas.microsoft.com/office/drawing/2014/main" id="{501B76FF-AB59-451F-8FFE-99CC70D52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628720</xdr:colOff>
      <xdr:row>5</xdr:row>
      <xdr:rowOff>152528</xdr:rowOff>
    </xdr:to>
    <xdr:pic>
      <xdr:nvPicPr>
        <xdr:cNvPr id="3" name="Picture 2">
          <a:extLst>
            <a:ext uri="{FF2B5EF4-FFF2-40B4-BE49-F238E27FC236}">
              <a16:creationId xmlns:a16="http://schemas.microsoft.com/office/drawing/2014/main" id="{F960C3E9-DBEF-4851-86FA-443977771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EDB1E252-43C5-4E7D-85BB-F3A94593B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1700429B-ABE0-44CD-91FB-00D2625563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tabSelected="1" workbookViewId="0"/>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showGridLines="0" workbookViewId="0">
      <selection activeCell="H13" sqref="H13:J13"/>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10</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119</v>
      </c>
      <c r="C15" s="78"/>
      <c r="D15" s="79"/>
      <c r="E15" s="75" t="s">
        <v>30</v>
      </c>
      <c r="F15" s="78"/>
      <c r="G15" s="79"/>
      <c r="H15" s="75" t="s">
        <v>31</v>
      </c>
      <c r="I15" s="76"/>
      <c r="J15" s="77"/>
      <c r="K15" s="69"/>
      <c r="L15" s="69"/>
      <c r="M15" s="69"/>
      <c r="N15" s="49"/>
      <c r="O15" s="22" t="s">
        <v>32</v>
      </c>
      <c r="P15" s="7" t="s">
        <v>13</v>
      </c>
      <c r="Q15" s="9"/>
      <c r="R15" s="9"/>
      <c r="T15" s="8"/>
    </row>
    <row r="16" spans="1:20" s="16" customFormat="1" ht="23.25" thickBot="1" x14ac:dyDescent="0.25">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2" x14ac:dyDescent="0.2">
      <c r="A17" s="19"/>
      <c r="B17" s="42"/>
      <c r="C17" s="44"/>
      <c r="D17" s="40"/>
      <c r="E17" s="42"/>
      <c r="F17" s="44"/>
      <c r="G17" s="40"/>
      <c r="H17" s="42"/>
      <c r="I17" s="44"/>
      <c r="J17" s="40"/>
      <c r="K17" s="20"/>
      <c r="L17" s="20"/>
      <c r="M17" s="20"/>
      <c r="N17" s="20"/>
      <c r="O17" s="22" t="s">
        <v>39</v>
      </c>
      <c r="P17" s="7" t="s">
        <v>13</v>
      </c>
      <c r="T17" s="8"/>
      <c r="W17" s="53"/>
    </row>
    <row r="18" spans="1:25" ht="12" x14ac:dyDescent="0.2">
      <c r="A18" s="54" t="s">
        <v>40</v>
      </c>
      <c r="B18" s="61">
        <f>VLOOKUP($H$13,'Detail Data 2024-2025'!$A$11:$C$67,3,0)</f>
        <v>13168227.759999998</v>
      </c>
      <c r="C18" s="62">
        <f>VLOOKUP($H$13,'Detail Data 2024-2025'!$A$11:$D$67,4,0)</f>
        <v>780</v>
      </c>
      <c r="D18" s="63">
        <f>VLOOKUP($H$13,'Detail Data 2024-2025'!$A$11:$E$67,5,0)</f>
        <v>12</v>
      </c>
      <c r="E18" s="61">
        <f>VLOOKUP($H$13,'Detail Data 2023-2024'!$A$11:$C$67,3,0)</f>
        <v>13115007.459999999</v>
      </c>
      <c r="F18" s="62">
        <f>VLOOKUP($H$13,'Detail Data 2023-2024'!$A$11:$D$67,4,0)</f>
        <v>780</v>
      </c>
      <c r="G18" s="63">
        <f>VLOOKUP($H$13,'Detail Data 2023-2024'!$A$11:$E$67,5,0)</f>
        <v>12</v>
      </c>
      <c r="H18" s="61">
        <f>VLOOKUP($H$13,'Detail Data 2022-2023'!$A$11:$C$67,3,0)</f>
        <v>13341092.119999999</v>
      </c>
      <c r="I18" s="62">
        <f>VLOOKUP($H$13,'Detail Data 2022-2023'!$A$11:$D$67,4,0)</f>
        <v>780</v>
      </c>
      <c r="J18" s="63">
        <f>VLOOKUP($H$13,'Detail Data 2022-2023'!$A$11:$E$67,5,0)</f>
        <v>12</v>
      </c>
      <c r="K18" s="50"/>
      <c r="N18" s="9"/>
      <c r="O18" s="22" t="s">
        <v>41</v>
      </c>
      <c r="P18" s="7" t="s">
        <v>13</v>
      </c>
      <c r="Q18" s="9"/>
      <c r="R18" s="9"/>
      <c r="T18" s="8"/>
      <c r="W18" s="53"/>
      <c r="X18" s="55"/>
      <c r="Y18" s="16"/>
    </row>
    <row r="19" spans="1:25" ht="12" x14ac:dyDescent="0.2">
      <c r="A19" s="54" t="s">
        <v>42</v>
      </c>
      <c r="B19" s="61">
        <f>VLOOKUP($H$13,'Detail Data 2024-2025'!$A$11:$F$67,6,0)</f>
        <v>13859190.059999999</v>
      </c>
      <c r="C19" s="62">
        <f>VLOOKUP($H$13,'Detail Data 2024-2025'!$A$11:$G$67,7,0)</f>
        <v>780</v>
      </c>
      <c r="D19" s="63">
        <f>VLOOKUP($H$13,'Detail Data 2024-2025'!$A$11:$H$67,8,0)</f>
        <v>12</v>
      </c>
      <c r="E19" s="61">
        <f>VLOOKUP($H$13,'Detail Data 2023-2024'!$A$11:$F$67,6,0)</f>
        <v>13204909.580000002</v>
      </c>
      <c r="F19" s="62">
        <f>VLOOKUP($H$13,'Detail Data 2023-2024'!$A$11:$G$67,7,0)</f>
        <v>780</v>
      </c>
      <c r="G19" s="63">
        <f>VLOOKUP($H$13,'Detail Data 2023-2024'!$A$11:$H$67,8,0)</f>
        <v>12</v>
      </c>
      <c r="H19" s="61">
        <f>VLOOKUP($H$13,'Detail Data 2022-2023'!$A$11:$F$67,6,0)</f>
        <v>13363687.15</v>
      </c>
      <c r="I19" s="62">
        <f>VLOOKUP($H$13,'Detail Data 2022-2023'!$A$11:$G$67,7,0)</f>
        <v>778</v>
      </c>
      <c r="J19" s="63">
        <f>VLOOKUP($H$13,'Detail Data 2022-2023'!$A$11:$H$67,8,0)</f>
        <v>12</v>
      </c>
      <c r="K19" s="50"/>
      <c r="N19" s="9"/>
      <c r="O19" s="22" t="s">
        <v>43</v>
      </c>
      <c r="P19" s="7" t="s">
        <v>13</v>
      </c>
      <c r="Q19" s="9"/>
      <c r="R19" s="9"/>
      <c r="T19" s="8"/>
      <c r="W19" s="53"/>
      <c r="X19" s="55"/>
      <c r="Y19" s="16"/>
    </row>
    <row r="20" spans="1:25" ht="12" x14ac:dyDescent="0.2">
      <c r="A20" s="54" t="s">
        <v>44</v>
      </c>
      <c r="B20" s="61">
        <f>VLOOKUP($H$13,'Detail Data 2024-2025'!$A$11:$I$67,9,0)</f>
        <v>12878157.870000001</v>
      </c>
      <c r="C20" s="62">
        <f>VLOOKUP($H$13,'Detail Data 2024-2025'!$A$11:$J$67,10,0)</f>
        <v>780</v>
      </c>
      <c r="D20" s="63">
        <f>VLOOKUP($H$13,'Detail Data 2024-2025'!$A$11:$K$67,11,0)</f>
        <v>12</v>
      </c>
      <c r="E20" s="61">
        <f>VLOOKUP($H$13,'Detail Data 2023-2024'!$A$11:$I$67,9,0)</f>
        <v>12308843.32</v>
      </c>
      <c r="F20" s="62">
        <f>VLOOKUP($H$13,'Detail Data 2023-2024'!$A$11:$J$67,10,0)</f>
        <v>780</v>
      </c>
      <c r="G20" s="63">
        <f>VLOOKUP($H$13,'Detail Data 2023-2024'!$A$11:$K$67,11,0)</f>
        <v>12</v>
      </c>
      <c r="H20" s="61">
        <f>VLOOKUP($H$13,'Detail Data 2022-2023'!$A$11:$I$67,9,0)</f>
        <v>12540059.370000001</v>
      </c>
      <c r="I20" s="62">
        <f>VLOOKUP($H$13,'Detail Data 2022-2023'!$A$11:$J$67,10,0)</f>
        <v>780</v>
      </c>
      <c r="J20" s="63">
        <f>VLOOKUP($H$13,'Detail Data 2022-2023'!$A$11:$K$67,11,0)</f>
        <v>12</v>
      </c>
      <c r="K20" s="50"/>
      <c r="N20" s="9"/>
      <c r="O20" s="22" t="s">
        <v>45</v>
      </c>
      <c r="P20" s="7" t="s">
        <v>13</v>
      </c>
      <c r="Q20" s="9"/>
      <c r="R20" s="9"/>
      <c r="T20" s="8"/>
      <c r="W20" s="53"/>
      <c r="X20" s="55"/>
      <c r="Y20" s="16"/>
    </row>
    <row r="21" spans="1:25" ht="12" x14ac:dyDescent="0.2">
      <c r="A21" s="54" t="s">
        <v>46</v>
      </c>
      <c r="B21" s="61">
        <f>VLOOKUP($H$13,'Detail Data 2024-2025'!$A$11:$L$67,12,0)</f>
        <v>13413879.829999998</v>
      </c>
      <c r="C21" s="62">
        <f>VLOOKUP($H$13,'Detail Data 2024-2025'!$A$11:$M$67,13,0)</f>
        <v>779</v>
      </c>
      <c r="D21" s="63">
        <f>VLOOKUP($H$13,'Detail Data 2024-2025'!$A$11:$N$67,14,0)</f>
        <v>12</v>
      </c>
      <c r="E21" s="61">
        <f>VLOOKUP($H$13,'Detail Data 2023-2024'!$A$11:$L$67,12,0)</f>
        <v>12557429.420000002</v>
      </c>
      <c r="F21" s="62">
        <f>VLOOKUP($H$13,'Detail Data 2023-2024'!$A$11:$M$67,13,0)</f>
        <v>780</v>
      </c>
      <c r="G21" s="63">
        <f>VLOOKUP($H$13,'Detail Data 2023-2024'!$A$11:$N$67,14,0)</f>
        <v>12</v>
      </c>
      <c r="H21" s="61">
        <f>VLOOKUP($H$13,'Detail Data 2022-2023'!$A$11:$L$67,12,0)</f>
        <v>13206022.580000002</v>
      </c>
      <c r="I21" s="62">
        <f>VLOOKUP($H$13,'Detail Data 2022-2023'!$A$11:$M$67,13,0)</f>
        <v>780</v>
      </c>
      <c r="J21" s="63">
        <f>VLOOKUP($H$13,'Detail Data 2022-2023'!$A$11:$N$67,14,0)</f>
        <v>12</v>
      </c>
      <c r="K21" s="50"/>
      <c r="N21" s="9"/>
      <c r="O21" s="22" t="s">
        <v>47</v>
      </c>
      <c r="P21" s="7" t="s">
        <v>13</v>
      </c>
      <c r="Q21" s="9"/>
      <c r="R21" s="9"/>
      <c r="T21" s="8"/>
      <c r="W21" s="53"/>
      <c r="X21" s="55"/>
      <c r="Y21" s="16"/>
    </row>
    <row r="22" spans="1:25" ht="12" x14ac:dyDescent="0.2">
      <c r="A22" s="54" t="s">
        <v>48</v>
      </c>
      <c r="B22" s="61">
        <f>VLOOKUP($H$13,'Detail Data 2024-2025'!$A$11:$O$67,15,0)</f>
        <v>12810129.500000002</v>
      </c>
      <c r="C22" s="62">
        <f>VLOOKUP($H$13,'Detail Data 2024-2025'!$A$11:$P$67,16,0)</f>
        <v>780</v>
      </c>
      <c r="D22" s="63">
        <f>VLOOKUP($H$13,'Detail Data 2024-2025'!$A$11:$Q$67,17,0)</f>
        <v>12</v>
      </c>
      <c r="E22" s="61">
        <f>VLOOKUP($H$13,'Detail Data 2023-2024'!$A$11:$O$67,15,0)</f>
        <v>12084156.180000002</v>
      </c>
      <c r="F22" s="62">
        <f>VLOOKUP($H$13,'Detail Data 2023-2024'!$A$11:$P$67,16,0)</f>
        <v>780</v>
      </c>
      <c r="G22" s="63">
        <f>VLOOKUP($H$13,'Detail Data 2023-2024'!$A$11:$Q$67,17,0)</f>
        <v>12</v>
      </c>
      <c r="H22" s="61">
        <f>VLOOKUP($H$13,'Detail Data 2022-2023'!$A$11:$O$67,15,0)</f>
        <v>11904584.48</v>
      </c>
      <c r="I22" s="62">
        <f>VLOOKUP($H$13,'Detail Data 2022-2023'!$A$11:$P$67,16,0)</f>
        <v>780</v>
      </c>
      <c r="J22" s="63">
        <f>VLOOKUP($H$13,'Detail Data 2022-2023'!$A$11:$Q$67,17,0)</f>
        <v>12</v>
      </c>
      <c r="K22" s="50"/>
      <c r="N22" s="9"/>
      <c r="O22" s="22" t="s">
        <v>49</v>
      </c>
      <c r="P22" s="7" t="s">
        <v>13</v>
      </c>
      <c r="Q22" s="9"/>
      <c r="R22" s="9"/>
      <c r="T22" s="8"/>
      <c r="W22" s="53"/>
      <c r="X22" s="55"/>
      <c r="Y22" s="16"/>
    </row>
    <row r="23" spans="1:25" ht="12" x14ac:dyDescent="0.2">
      <c r="A23" s="54" t="s">
        <v>50</v>
      </c>
      <c r="B23" s="61">
        <f>VLOOKUP($H$13,'Detail Data 2024-2025'!$A$11:$R$67,18,0)</f>
        <v>13352051.140000001</v>
      </c>
      <c r="C23" s="62">
        <f>VLOOKUP($H$13,'Detail Data 2024-2025'!$A$11:$S$67,19,0)</f>
        <v>780</v>
      </c>
      <c r="D23" s="63">
        <f>VLOOKUP($H$13,'Detail Data 2024-2025'!$A$11:$T$67,20,0)</f>
        <v>12</v>
      </c>
      <c r="E23" s="61">
        <f>VLOOKUP($H$13,'Detail Data 2023-2024'!$A$11:$R$67,18,0)</f>
        <v>13262017.310000002</v>
      </c>
      <c r="F23" s="62">
        <f>VLOOKUP($H$13,'Detail Data 2023-2024'!$A$11:$S$67,19,0)</f>
        <v>780</v>
      </c>
      <c r="G23" s="63">
        <f>VLOOKUP($H$13,'Detail Data 2023-2024'!$A$11:$T$67,20,0)</f>
        <v>12</v>
      </c>
      <c r="H23" s="61">
        <f>VLOOKUP($H$13,'Detail Data 2022-2023'!$A$11:$R$67,18,0)</f>
        <v>12892691.810000001</v>
      </c>
      <c r="I23" s="62">
        <f>VLOOKUP($H$13,'Detail Data 2022-2023'!$A$11:$S$67,19,0)</f>
        <v>778</v>
      </c>
      <c r="J23" s="63">
        <f>VLOOKUP($H$13,'Detail Data 2022-2023'!$A$11:$T$67,20,0)</f>
        <v>12</v>
      </c>
      <c r="K23" s="50"/>
      <c r="N23" s="9"/>
      <c r="O23" s="22" t="s">
        <v>51</v>
      </c>
      <c r="P23" s="7" t="s">
        <v>13</v>
      </c>
      <c r="Q23" s="9"/>
      <c r="R23" s="9"/>
      <c r="T23" s="8"/>
      <c r="W23" s="53"/>
      <c r="X23" s="55"/>
      <c r="Y23" s="16"/>
    </row>
    <row r="24" spans="1:25" ht="12" x14ac:dyDescent="0.2">
      <c r="A24" s="54" t="s">
        <v>52</v>
      </c>
      <c r="B24" s="61">
        <f>VLOOKUP($H$13,'Detail Data 2024-2025'!$A$11:$U$67,21,0)</f>
        <v>12173775.490000002</v>
      </c>
      <c r="C24" s="62">
        <f>VLOOKUP($H$13,'Detail Data 2024-2025'!$A$11:$V$67,22,0)</f>
        <v>780</v>
      </c>
      <c r="D24" s="63">
        <f>VLOOKUP($H$13,'Detail Data 2024-2025'!$A$11:$W$67,23,0)</f>
        <v>12</v>
      </c>
      <c r="E24" s="61">
        <f>VLOOKUP($H$13,'Detail Data 2023-2024'!$A$11:$U$67,21,0)</f>
        <v>11712510.149999999</v>
      </c>
      <c r="F24" s="62">
        <f>VLOOKUP($H$13,'Detail Data 2023-2024'!$A$11:$V$67,22,0)</f>
        <v>780</v>
      </c>
      <c r="G24" s="63">
        <f>VLOOKUP($H$13,'Detail Data 2023-2024'!$A$11:$W$67,23,0)</f>
        <v>12</v>
      </c>
      <c r="H24" s="61">
        <f>VLOOKUP($H$13,'Detail Data 2022-2023'!$A$11:$U$67,21,0)</f>
        <v>11857137.539999997</v>
      </c>
      <c r="I24" s="62">
        <f>VLOOKUP($H$13,'Detail Data 2022-2023'!$A$11:$V$67,22,0)</f>
        <v>780</v>
      </c>
      <c r="J24" s="63">
        <f>VLOOKUP($H$13,'Detail Data 2022-2023'!$A$11:$W$67,23,0)</f>
        <v>12</v>
      </c>
      <c r="K24" s="50"/>
      <c r="N24" s="9"/>
      <c r="O24" s="22" t="s">
        <v>53</v>
      </c>
      <c r="P24" s="7" t="s">
        <v>13</v>
      </c>
      <c r="Q24" s="9"/>
      <c r="R24" s="9"/>
      <c r="T24" s="8"/>
      <c r="W24" s="53"/>
      <c r="X24" s="55"/>
      <c r="Y24" s="16"/>
    </row>
    <row r="25" spans="1:25" ht="12" x14ac:dyDescent="0.2">
      <c r="A25" s="54" t="s">
        <v>54</v>
      </c>
      <c r="B25" s="61">
        <f>VLOOKUP($H$13,'Detail Data 2024-2025'!$A$11:$X$67,24,0)</f>
        <v>11333416.020000001</v>
      </c>
      <c r="C25" s="62">
        <f>VLOOKUP($H$13,'Detail Data 2024-2025'!$A$11:$Y$67,25,0)</f>
        <v>780</v>
      </c>
      <c r="D25" s="63">
        <f>VLOOKUP($H$13,'Detail Data 2024-2025'!$A$11:$Z$67,26,0)</f>
        <v>12</v>
      </c>
      <c r="E25" s="61">
        <f>VLOOKUP($H$13,'Detail Data 2023-2024'!$A$11:$X$67,24,0)</f>
        <v>11392477.569999998</v>
      </c>
      <c r="F25" s="62">
        <f>VLOOKUP($H$13,'Detail Data 2023-2024'!$A$11:$Y$67,25,0)</f>
        <v>766</v>
      </c>
      <c r="G25" s="63">
        <f>VLOOKUP($H$13,'Detail Data 2023-2024'!$A$11:$Z$67,26,0)</f>
        <v>12</v>
      </c>
      <c r="H25" s="61">
        <f>VLOOKUP($H$13,'Detail Data 2022-2023'!$A$11:$X$67,24,0)</f>
        <v>10951410.540000001</v>
      </c>
      <c r="I25" s="62">
        <f>VLOOKUP($H$13,'Detail Data 2022-2023'!$A$11:$Y$67,25,0)</f>
        <v>780</v>
      </c>
      <c r="J25" s="63">
        <f>VLOOKUP($H$13,'Detail Data 2022-2023'!$A$11:$Z$67,26,0)</f>
        <v>12</v>
      </c>
      <c r="K25" s="50"/>
      <c r="N25" s="9"/>
      <c r="O25" s="22" t="s">
        <v>55</v>
      </c>
      <c r="P25" s="7" t="s">
        <v>13</v>
      </c>
      <c r="Q25" s="9"/>
      <c r="R25" s="9"/>
      <c r="T25" s="8"/>
      <c r="W25" s="53"/>
      <c r="X25" s="55"/>
      <c r="Y25" s="16"/>
    </row>
    <row r="26" spans="1:25" ht="12" x14ac:dyDescent="0.2">
      <c r="A26" s="54" t="s">
        <v>56</v>
      </c>
      <c r="B26" s="61">
        <f>VLOOKUP($H$13,'Detail Data 2024-2025'!$A$11:$AA$67,27,0)</f>
        <v>0</v>
      </c>
      <c r="C26" s="62">
        <f>VLOOKUP($H$13,'Detail Data 2024-2025'!$A$11:$AB$67,28,0)</f>
        <v>0</v>
      </c>
      <c r="D26" s="63">
        <f>VLOOKUP($H$13,'Detail Data 2024-2025'!$A$11:$AC$67,29,0)</f>
        <v>0</v>
      </c>
      <c r="E26" s="61">
        <f>VLOOKUP($H$13,'Detail Data 2023-2024'!$A$11:$AA$67,27,0)</f>
        <v>12027887.68</v>
      </c>
      <c r="F26" s="62">
        <f>VLOOKUP($H$13,'Detail Data 2023-2024'!$A$11:$AB$67,28,0)</f>
        <v>780</v>
      </c>
      <c r="G26" s="63">
        <f>VLOOKUP($H$13,'Detail Data 2023-2024'!$A$11:$AC$67,29,0)</f>
        <v>12</v>
      </c>
      <c r="H26" s="61">
        <f>VLOOKUP($H$13,'Detail Data 2022-2023'!$A$11:$AA$67,27,0)</f>
        <v>11955695.880000001</v>
      </c>
      <c r="I26" s="62">
        <f>VLOOKUP($H$13,'Detail Data 2022-2023'!$A$11:$AB$67,28,0)</f>
        <v>780</v>
      </c>
      <c r="J26" s="63">
        <f>VLOOKUP($H$13,'Detail Data 2022-2023'!$A$11:$AC$67,29,0)</f>
        <v>12</v>
      </c>
      <c r="K26" s="50"/>
      <c r="N26" s="9"/>
      <c r="O26" s="22" t="s">
        <v>57</v>
      </c>
      <c r="P26" s="7" t="s">
        <v>13</v>
      </c>
      <c r="Q26" s="9"/>
      <c r="R26" s="9"/>
      <c r="T26" s="8"/>
      <c r="W26" s="53"/>
      <c r="X26" s="55"/>
      <c r="Y26" s="16"/>
    </row>
    <row r="27" spans="1:25" ht="12" x14ac:dyDescent="0.2">
      <c r="A27" s="54" t="s">
        <v>58</v>
      </c>
      <c r="B27" s="61">
        <f>VLOOKUP($H$13,'Detail Data 2024-2025'!$A$11:$AD$67,30,0)</f>
        <v>0</v>
      </c>
      <c r="C27" s="62">
        <f>VLOOKUP($H$13,'Detail Data 2024-2025'!$A$11:$AE$67,31,0)</f>
        <v>0</v>
      </c>
      <c r="D27" s="63">
        <f>VLOOKUP($H$13,'Detail Data 2024-2025'!$A$11:$AF$67,32,0)</f>
        <v>0</v>
      </c>
      <c r="E27" s="61">
        <f>VLOOKUP($H$13,'Detail Data 2023-2024'!$A$11:$AD$67,30,0)</f>
        <v>12075650</v>
      </c>
      <c r="F27" s="62">
        <f>VLOOKUP($H$13,'Detail Data 2023-2024'!$A$11:$AE$67,31,0)</f>
        <v>780</v>
      </c>
      <c r="G27" s="63">
        <f>VLOOKUP($H$13,'Detail Data 2023-2024'!$A$11:$AF$67,32,0)</f>
        <v>12</v>
      </c>
      <c r="H27" s="61">
        <f>VLOOKUP($H$13,'Detail Data 2022-2023'!$A$11:$AD$67,30,0)</f>
        <v>11754432.300000001</v>
      </c>
      <c r="I27" s="62">
        <f>VLOOKUP($H$13,'Detail Data 2022-2023'!$A$11:$AE$67,31,0)</f>
        <v>780</v>
      </c>
      <c r="J27" s="63">
        <f>VLOOKUP($H$13,'Detail Data 2022-2023'!$A$11:$AF$67,32,0)</f>
        <v>12</v>
      </c>
      <c r="K27" s="50"/>
      <c r="N27" s="9"/>
      <c r="O27" s="22" t="s">
        <v>59</v>
      </c>
      <c r="P27" s="7" t="s">
        <v>13</v>
      </c>
      <c r="Q27" s="9"/>
      <c r="R27" s="9"/>
      <c r="T27" s="8"/>
      <c r="W27" s="53"/>
      <c r="X27" s="55"/>
      <c r="Y27" s="16"/>
    </row>
    <row r="28" spans="1:25" ht="12" x14ac:dyDescent="0.2">
      <c r="A28" s="54" t="s">
        <v>60</v>
      </c>
      <c r="B28" s="61">
        <f>VLOOKUP($H$13,'Detail Data 2024-2025'!$A$11:$AG$67,33,0)</f>
        <v>0</v>
      </c>
      <c r="C28" s="62">
        <f>VLOOKUP($H$13,'Detail Data 2024-2025'!$A$11:$AH$67,34,0)</f>
        <v>0</v>
      </c>
      <c r="D28" s="63">
        <f>VLOOKUP($H$13,'Detail Data 2024-2025'!$A$11:$AI$67,35,0)</f>
        <v>0</v>
      </c>
      <c r="E28" s="61">
        <f>VLOOKUP($H$13,'Detail Data 2023-2024'!$A$11:$AG$67,33,0)</f>
        <v>12517319.760000002</v>
      </c>
      <c r="F28" s="62">
        <f>VLOOKUP($H$13,'Detail Data 2023-2024'!$A$11:$AH$67,34,0)</f>
        <v>780</v>
      </c>
      <c r="G28" s="63">
        <f>VLOOKUP($H$13,'Detail Data 2023-2024'!$A$11:$AI$67,35,0)</f>
        <v>12</v>
      </c>
      <c r="H28" s="61">
        <f>VLOOKUP($H$13,'Detail Data 2022-2023'!$A$11:$AG$67,33,0)</f>
        <v>11775329.17</v>
      </c>
      <c r="I28" s="62">
        <f>VLOOKUP($H$13,'Detail Data 2022-2023'!$A$11:$AH$67,34,0)</f>
        <v>780</v>
      </c>
      <c r="J28" s="63">
        <f>VLOOKUP($H$13,'Detail Data 2022-2023'!$A$11:$AI$67,35,0)</f>
        <v>12</v>
      </c>
      <c r="K28" s="50"/>
      <c r="N28" s="9"/>
      <c r="O28" s="22" t="s">
        <v>61</v>
      </c>
      <c r="P28" s="7" t="s">
        <v>13</v>
      </c>
      <c r="Q28" s="9"/>
      <c r="R28" s="9"/>
      <c r="T28" s="7"/>
      <c r="W28" s="53"/>
      <c r="X28" s="55"/>
      <c r="Y28" s="16"/>
    </row>
    <row r="29" spans="1:25" ht="12" x14ac:dyDescent="0.2">
      <c r="A29" s="54" t="s">
        <v>62</v>
      </c>
      <c r="B29" s="61">
        <f>VLOOKUP($H$13,'Detail Data 2024-2025'!$A$11:$AL$67,36,0)</f>
        <v>0</v>
      </c>
      <c r="C29" s="62">
        <f>VLOOKUP($H$13,'Detail Data 2024-2025'!$A$11:$AM$67,37,0)</f>
        <v>0</v>
      </c>
      <c r="D29" s="63">
        <f>VLOOKUP($H$13,'Detail Data 2024-2025'!$A$11:$AN$67,38,0)</f>
        <v>0</v>
      </c>
      <c r="E29" s="61">
        <f>VLOOKUP($H$13,'Detail Data 2023-2024'!$A$11:$AL$67,36,0)</f>
        <v>12137493.41</v>
      </c>
      <c r="F29" s="62">
        <f>VLOOKUP($H$13,'Detail Data 2023-2024'!$A$11:$AM$67,37,0)</f>
        <v>779</v>
      </c>
      <c r="G29" s="63">
        <f>VLOOKUP($H$13,'Detail Data 2023-2024'!$A$11:$AN$67,38,0)</f>
        <v>12</v>
      </c>
      <c r="H29" s="61">
        <f>VLOOKUP($H$13,'Detail Data 2022-2023'!$A$11:$AJ$67,36,0)</f>
        <v>11904727.640000001</v>
      </c>
      <c r="I29" s="62">
        <f>VLOOKUP($H$13,'Detail Data 2022-2023'!$A$11:$AK$67,37,0)</f>
        <v>780</v>
      </c>
      <c r="J29" s="63">
        <f>VLOOKUP($H$13,'Detail Data 2022-2023'!$A$11:$AL$67,38,0)</f>
        <v>12</v>
      </c>
      <c r="K29" s="50"/>
      <c r="N29" s="9"/>
      <c r="O29" s="22" t="s">
        <v>63</v>
      </c>
      <c r="P29" s="7" t="s">
        <v>13</v>
      </c>
      <c r="Q29" s="9"/>
      <c r="R29" s="9"/>
      <c r="T29" s="7"/>
      <c r="W29" s="53"/>
      <c r="X29" s="55"/>
      <c r="Y29" s="16"/>
    </row>
    <row r="30" spans="1:25" ht="12.75" thickBot="1" x14ac:dyDescent="0.25">
      <c r="A30" s="11"/>
      <c r="B30" s="43"/>
      <c r="C30" s="45"/>
      <c r="D30" s="41"/>
      <c r="E30" s="43"/>
      <c r="F30" s="45"/>
      <c r="G30" s="41"/>
      <c r="H30" s="43"/>
      <c r="I30" s="45"/>
      <c r="J30" s="41"/>
      <c r="N30" s="9"/>
      <c r="O30" s="22" t="s">
        <v>64</v>
      </c>
      <c r="P30" s="7" t="s">
        <v>11</v>
      </c>
      <c r="Q30" s="9"/>
      <c r="R30" s="9"/>
      <c r="T30" s="7"/>
      <c r="W30" s="53"/>
      <c r="X30" s="16"/>
      <c r="Y30" s="16"/>
    </row>
    <row r="31" spans="1:25" ht="12.75" thickBot="1" x14ac:dyDescent="0.25">
      <c r="A31" s="15" t="s">
        <v>65</v>
      </c>
      <c r="B31" s="47">
        <f>VLOOKUP(H13,'Detail Data 2024-2025'!A:AM,39,0)</f>
        <v>102988827.67</v>
      </c>
      <c r="C31" s="46"/>
      <c r="D31" s="48"/>
      <c r="E31" s="47">
        <f>VLOOKUP(H13,'Detail Data 2023-2024'!A:AM,39,0)</f>
        <v>148395701.84</v>
      </c>
      <c r="F31" s="46"/>
      <c r="G31" s="48"/>
      <c r="H31" s="47">
        <f>VLOOKUP(H13,'Detail Data 2022-2023'!A11:AM67,39,0)</f>
        <v>147446870.57999998</v>
      </c>
      <c r="I31" s="46"/>
      <c r="J31" s="48"/>
      <c r="K31" s="51"/>
      <c r="N31" s="9"/>
      <c r="O31" s="6" t="s">
        <v>66</v>
      </c>
      <c r="P31" s="7" t="s">
        <v>11</v>
      </c>
      <c r="Q31" s="9"/>
      <c r="R31" s="9"/>
      <c r="T31" s="7"/>
    </row>
    <row r="32" spans="1:25" ht="12" x14ac:dyDescent="0.2">
      <c r="N32" s="7"/>
      <c r="O32" s="6" t="s">
        <v>67</v>
      </c>
      <c r="P32" s="7" t="s">
        <v>11</v>
      </c>
      <c r="Q32" s="9"/>
      <c r="R32" s="9"/>
    </row>
    <row r="33" spans="14:16" ht="11.45" customHeight="1" x14ac:dyDescent="0.2">
      <c r="N33" s="7"/>
      <c r="O33" s="6" t="s">
        <v>68</v>
      </c>
      <c r="P33" s="7" t="s">
        <v>11</v>
      </c>
    </row>
    <row r="34" spans="14:16" ht="12" x14ac:dyDescent="0.2">
      <c r="N34" s="7"/>
      <c r="O34" s="6" t="s">
        <v>69</v>
      </c>
      <c r="P34" s="7" t="s">
        <v>11</v>
      </c>
    </row>
    <row r="35" spans="14:16" ht="12" x14ac:dyDescent="0.2">
      <c r="N35" s="7"/>
      <c r="O35" s="6" t="s">
        <v>70</v>
      </c>
      <c r="P35" s="7" t="s">
        <v>11</v>
      </c>
    </row>
    <row r="36" spans="14:16" ht="12" x14ac:dyDescent="0.2">
      <c r="N36" s="7"/>
      <c r="O36" s="6" t="s">
        <v>71</v>
      </c>
      <c r="P36" s="7" t="s">
        <v>11</v>
      </c>
    </row>
    <row r="37" spans="14:16" ht="12" x14ac:dyDescent="0.2">
      <c r="N37" s="7"/>
      <c r="O37" s="6" t="s">
        <v>72</v>
      </c>
      <c r="P37" s="7" t="s">
        <v>11</v>
      </c>
    </row>
    <row r="38" spans="14:16" ht="12" x14ac:dyDescent="0.2">
      <c r="N38" s="7"/>
      <c r="O38" s="6" t="s">
        <v>73</v>
      </c>
      <c r="P38" s="7" t="s">
        <v>11</v>
      </c>
    </row>
    <row r="39" spans="14:16" ht="12" x14ac:dyDescent="0.2">
      <c r="N39" s="7"/>
      <c r="O39" s="6" t="s">
        <v>74</v>
      </c>
      <c r="P39" s="7" t="s">
        <v>11</v>
      </c>
    </row>
    <row r="40" spans="14:16" ht="12" x14ac:dyDescent="0.2">
      <c r="N40" s="7"/>
      <c r="O40" s="6" t="s">
        <v>75</v>
      </c>
      <c r="P40" s="7" t="s">
        <v>11</v>
      </c>
    </row>
    <row r="41" spans="14:16" ht="12" x14ac:dyDescent="0.2">
      <c r="N41" s="7"/>
      <c r="O41" s="6" t="s">
        <v>76</v>
      </c>
      <c r="P41" s="7" t="s">
        <v>11</v>
      </c>
    </row>
    <row r="42" spans="14:16" ht="12" x14ac:dyDescent="0.2">
      <c r="N42" s="7"/>
      <c r="O42" s="6" t="s">
        <v>77</v>
      </c>
      <c r="P42" s="7" t="s">
        <v>11</v>
      </c>
    </row>
    <row r="43" spans="14:16" ht="12" x14ac:dyDescent="0.2">
      <c r="N43" s="7"/>
      <c r="O43" s="6" t="s">
        <v>78</v>
      </c>
      <c r="P43" s="7" t="s">
        <v>11</v>
      </c>
    </row>
    <row r="44" spans="14:16" ht="12" x14ac:dyDescent="0.2">
      <c r="N44" s="7"/>
      <c r="O44" s="6" t="s">
        <v>79</v>
      </c>
      <c r="P44" s="7" t="s">
        <v>11</v>
      </c>
    </row>
    <row r="45" spans="14:16" ht="12" x14ac:dyDescent="0.2">
      <c r="N45" s="7"/>
      <c r="O45" s="6" t="s">
        <v>80</v>
      </c>
      <c r="P45" s="7" t="s">
        <v>11</v>
      </c>
    </row>
    <row r="46" spans="14:16" ht="12" x14ac:dyDescent="0.2">
      <c r="N46" s="7"/>
      <c r="O46" s="6" t="s">
        <v>81</v>
      </c>
      <c r="P46" s="7" t="s">
        <v>11</v>
      </c>
    </row>
    <row r="47" spans="14:16" ht="12" x14ac:dyDescent="0.2">
      <c r="N47" s="7"/>
      <c r="O47" s="6" t="s">
        <v>82</v>
      </c>
      <c r="P47" s="7" t="s">
        <v>11</v>
      </c>
    </row>
    <row r="48" spans="14:16" ht="12" x14ac:dyDescent="0.2">
      <c r="N48" s="7"/>
      <c r="O48" s="6" t="s">
        <v>83</v>
      </c>
      <c r="P48" s="7" t="s">
        <v>11</v>
      </c>
    </row>
    <row r="49" spans="14:16" ht="12" x14ac:dyDescent="0.2">
      <c r="N49" s="7"/>
      <c r="O49" s="6" t="s">
        <v>84</v>
      </c>
      <c r="P49" s="7" t="s">
        <v>11</v>
      </c>
    </row>
    <row r="50" spans="14:16" ht="12" x14ac:dyDescent="0.2">
      <c r="N50" s="7"/>
      <c r="O50" s="6" t="s">
        <v>85</v>
      </c>
      <c r="P50" s="7" t="s">
        <v>11</v>
      </c>
    </row>
    <row r="51" spans="14:16" ht="12" x14ac:dyDescent="0.2">
      <c r="N51" s="7"/>
      <c r="O51" s="6" t="s">
        <v>86</v>
      </c>
      <c r="P51" s="7" t="s">
        <v>11</v>
      </c>
    </row>
    <row r="52" spans="14:16" ht="12" x14ac:dyDescent="0.2">
      <c r="N52" s="7"/>
      <c r="O52" s="6" t="s">
        <v>87</v>
      </c>
      <c r="P52" s="7" t="s">
        <v>11</v>
      </c>
    </row>
    <row r="53" spans="14:16" ht="12" x14ac:dyDescent="0.2">
      <c r="N53" s="7"/>
      <c r="O53" s="6" t="s">
        <v>88</v>
      </c>
      <c r="P53" s="7" t="s">
        <v>11</v>
      </c>
    </row>
    <row r="54" spans="14:16" ht="12" x14ac:dyDescent="0.2">
      <c r="N54" s="7"/>
      <c r="O54" s="6" t="s">
        <v>89</v>
      </c>
      <c r="P54" s="7" t="s">
        <v>11</v>
      </c>
    </row>
    <row r="55" spans="14:16" ht="12" x14ac:dyDescent="0.2">
      <c r="N55" s="7"/>
      <c r="O55" s="6" t="s">
        <v>90</v>
      </c>
      <c r="P55" s="7" t="s">
        <v>11</v>
      </c>
    </row>
    <row r="56" spans="14:16" ht="12" x14ac:dyDescent="0.2">
      <c r="N56" s="7"/>
      <c r="O56" s="6" t="s">
        <v>91</v>
      </c>
      <c r="P56" s="7" t="s">
        <v>11</v>
      </c>
    </row>
    <row r="57" spans="14:16" ht="12" x14ac:dyDescent="0.2">
      <c r="N57" s="7"/>
      <c r="O57" s="6" t="s">
        <v>92</v>
      </c>
      <c r="P57" s="7" t="s">
        <v>11</v>
      </c>
    </row>
    <row r="58" spans="14:16" ht="12" x14ac:dyDescent="0.2">
      <c r="N58" s="7"/>
      <c r="O58" s="6" t="s">
        <v>93</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showGridLines="0" zoomScaleNormal="100" workbookViewId="0">
      <selection activeCell="A11" sqref="A11"/>
    </sheetView>
  </sheetViews>
  <sheetFormatPr defaultColWidth="8.85546875" defaultRowHeight="12" x14ac:dyDescent="0.2"/>
  <cols>
    <col min="1" max="1" width="43" style="2" customWidth="1"/>
    <col min="2" max="2" width="10.7109375" style="2" bestFit="1" customWidth="1"/>
    <col min="3" max="3" width="16.5703125" style="2" bestFit="1" customWidth="1"/>
    <col min="4" max="4" width="13.28515625" style="2" bestFit="1" customWidth="1"/>
    <col min="5" max="5" width="13.85546875" style="2" bestFit="1" customWidth="1"/>
    <col min="6" max="6" width="16.5703125" style="2" bestFit="1" customWidth="1"/>
    <col min="7" max="7" width="13.28515625" style="2" bestFit="1" customWidth="1"/>
    <col min="8" max="8" width="13.85546875" style="2" bestFit="1" customWidth="1"/>
    <col min="9" max="9" width="16.5703125" style="2" bestFit="1" customWidth="1"/>
    <col min="10" max="10" width="13.28515625" style="2" bestFit="1" customWidth="1"/>
    <col min="11" max="11" width="13.85546875" style="2" bestFit="1" customWidth="1"/>
    <col min="12" max="12" width="16.5703125" style="2" bestFit="1" customWidth="1"/>
    <col min="13" max="13" width="13.28515625" style="2" bestFit="1" customWidth="1"/>
    <col min="14" max="14" width="13.85546875" style="2" bestFit="1" customWidth="1"/>
    <col min="15" max="15" width="15.5703125" style="2" bestFit="1" customWidth="1"/>
    <col min="16" max="16" width="13.28515625" style="2" bestFit="1" customWidth="1"/>
    <col min="17" max="17" width="13.85546875" style="2" bestFit="1" customWidth="1"/>
    <col min="18" max="18" width="16.5703125" style="2" bestFit="1" customWidth="1"/>
    <col min="19" max="19" width="13.28515625" style="2" bestFit="1" customWidth="1"/>
    <col min="20" max="20" width="13.85546875" style="2" bestFit="1" customWidth="1"/>
    <col min="21" max="21" width="15.85546875" style="2" bestFit="1" customWidth="1"/>
    <col min="22" max="22" width="13.28515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118</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v>13352051.140000001</v>
      </c>
      <c r="S11" s="4">
        <v>780</v>
      </c>
      <c r="T11" s="4">
        <v>12</v>
      </c>
      <c r="U11" s="5">
        <v>12173775.490000002</v>
      </c>
      <c r="V11" s="4">
        <v>780</v>
      </c>
      <c r="W11" s="4">
        <v>12</v>
      </c>
      <c r="X11" s="5">
        <v>11333416.020000001</v>
      </c>
      <c r="Y11" s="4">
        <v>780</v>
      </c>
      <c r="Z11" s="4">
        <v>12</v>
      </c>
      <c r="AA11" s="5"/>
      <c r="AB11" s="4"/>
      <c r="AC11" s="4"/>
      <c r="AD11" s="5"/>
      <c r="AE11" s="4"/>
      <c r="AF11" s="4"/>
      <c r="AG11" s="5"/>
      <c r="AH11" s="4"/>
      <c r="AI11" s="4"/>
      <c r="AJ11" s="5"/>
      <c r="AK11" s="4"/>
      <c r="AL11" s="4"/>
      <c r="AM11" s="26">
        <f>+C11+F11+I11+L11+O11+R11+U11+X11+AA11+AD11+AG11+AJ11</f>
        <v>102988827.67</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v>926790.11</v>
      </c>
      <c r="S12" s="4">
        <v>154</v>
      </c>
      <c r="T12" s="4">
        <v>4</v>
      </c>
      <c r="U12" s="5">
        <v>893830.19</v>
      </c>
      <c r="V12" s="4">
        <v>150</v>
      </c>
      <c r="W12" s="4">
        <v>4</v>
      </c>
      <c r="X12" s="5">
        <v>774414.67999999993</v>
      </c>
      <c r="Y12" s="4">
        <v>150</v>
      </c>
      <c r="Z12" s="4">
        <v>4</v>
      </c>
      <c r="AA12" s="5"/>
      <c r="AB12" s="4"/>
      <c r="AC12" s="4"/>
      <c r="AD12" s="5"/>
      <c r="AE12" s="4"/>
      <c r="AF12" s="4"/>
      <c r="AG12" s="5"/>
      <c r="AH12" s="4"/>
      <c r="AI12" s="4"/>
      <c r="AJ12" s="5"/>
      <c r="AK12" s="4"/>
      <c r="AL12" s="4"/>
      <c r="AM12" s="26">
        <f t="shared" ref="AM12:AM67" si="0">+C12+F12+I12+L12+O12+R12+U12+X12+AA12+AD12+AG12+AJ12</f>
        <v>7212983</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v>12362453.359999996</v>
      </c>
      <c r="S13" s="4">
        <v>1375</v>
      </c>
      <c r="T13" s="4">
        <v>26</v>
      </c>
      <c r="U13" s="5">
        <v>12047546.58</v>
      </c>
      <c r="V13" s="4">
        <v>1374</v>
      </c>
      <c r="W13" s="4">
        <v>26</v>
      </c>
      <c r="X13" s="5">
        <v>10870229.319999997</v>
      </c>
      <c r="Y13" s="4">
        <v>1375</v>
      </c>
      <c r="Z13" s="4">
        <v>26</v>
      </c>
      <c r="AA13" s="5"/>
      <c r="AB13" s="4"/>
      <c r="AC13" s="4"/>
      <c r="AD13" s="5"/>
      <c r="AE13" s="4"/>
      <c r="AF13" s="4"/>
      <c r="AG13" s="5"/>
      <c r="AH13" s="4"/>
      <c r="AI13" s="4"/>
      <c r="AJ13" s="5"/>
      <c r="AK13" s="4"/>
      <c r="AL13" s="4"/>
      <c r="AM13" s="26">
        <f t="shared" si="0"/>
        <v>94629753.839999989</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v>1061570.24</v>
      </c>
      <c r="S14" s="4">
        <v>167</v>
      </c>
      <c r="T14" s="4">
        <v>7</v>
      </c>
      <c r="U14" s="5">
        <v>1041193.04</v>
      </c>
      <c r="V14" s="4">
        <v>167</v>
      </c>
      <c r="W14" s="4">
        <v>7</v>
      </c>
      <c r="X14" s="5">
        <v>906322.33000000007</v>
      </c>
      <c r="Y14" s="4">
        <v>167</v>
      </c>
      <c r="Z14" s="4">
        <v>7</v>
      </c>
      <c r="AA14" s="5"/>
      <c r="AB14" s="4"/>
      <c r="AC14" s="4"/>
      <c r="AD14" s="5"/>
      <c r="AE14" s="4"/>
      <c r="AF14" s="4"/>
      <c r="AG14" s="5"/>
      <c r="AH14" s="4"/>
      <c r="AI14" s="4"/>
      <c r="AJ14" s="5"/>
      <c r="AK14" s="4"/>
      <c r="AL14" s="4"/>
      <c r="AM14" s="26">
        <f>+C14+F14+I14+L14+O14+R14+U14+X14+AA14+AD14+AG14+AJ14</f>
        <v>8198211.8000000007</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v>1237201.3799999999</v>
      </c>
      <c r="S15" s="4">
        <v>167</v>
      </c>
      <c r="T15" s="4">
        <v>5</v>
      </c>
      <c r="U15" s="5">
        <v>1119156.92</v>
      </c>
      <c r="V15" s="4">
        <v>167</v>
      </c>
      <c r="W15" s="4">
        <v>5</v>
      </c>
      <c r="X15" s="5">
        <v>1020885.9199999999</v>
      </c>
      <c r="Y15" s="4">
        <v>167</v>
      </c>
      <c r="Z15" s="4">
        <v>5</v>
      </c>
      <c r="AA15" s="5"/>
      <c r="AB15" s="4"/>
      <c r="AC15" s="4"/>
      <c r="AD15" s="5"/>
      <c r="AE15" s="4"/>
      <c r="AF15" s="4"/>
      <c r="AG15" s="5"/>
      <c r="AH15" s="4"/>
      <c r="AI15" s="4"/>
      <c r="AJ15" s="5"/>
      <c r="AK15" s="4"/>
      <c r="AL15" s="4"/>
      <c r="AM15" s="26">
        <f t="shared" si="0"/>
        <v>9524914.5199999977</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v>1078336.43</v>
      </c>
      <c r="S16" s="4">
        <v>129</v>
      </c>
      <c r="T16" s="4">
        <v>3</v>
      </c>
      <c r="U16" s="5">
        <v>967570.36</v>
      </c>
      <c r="V16" s="4">
        <v>129</v>
      </c>
      <c r="W16" s="4">
        <v>3</v>
      </c>
      <c r="X16" s="5">
        <v>894494.66</v>
      </c>
      <c r="Y16" s="4">
        <v>129</v>
      </c>
      <c r="Z16" s="4">
        <v>3</v>
      </c>
      <c r="AA16" s="5"/>
      <c r="AB16" s="4"/>
      <c r="AC16" s="4"/>
      <c r="AD16" s="5"/>
      <c r="AE16" s="4"/>
      <c r="AF16" s="4"/>
      <c r="AG16" s="5"/>
      <c r="AH16" s="4"/>
      <c r="AI16" s="4"/>
      <c r="AJ16" s="5"/>
      <c r="AK16" s="4"/>
      <c r="AL16" s="4"/>
      <c r="AM16" s="26">
        <f t="shared" si="0"/>
        <v>8083309.080000001</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v>2253132.83</v>
      </c>
      <c r="S17" s="4">
        <v>313</v>
      </c>
      <c r="T17" s="4">
        <v>7</v>
      </c>
      <c r="U17" s="5">
        <v>2286040.25</v>
      </c>
      <c r="V17" s="4">
        <v>313</v>
      </c>
      <c r="W17" s="4">
        <v>7</v>
      </c>
      <c r="X17" s="5">
        <v>1985936.6199999999</v>
      </c>
      <c r="Y17" s="4">
        <v>313</v>
      </c>
      <c r="Z17" s="4">
        <v>7</v>
      </c>
      <c r="AA17" s="5"/>
      <c r="AB17" s="4"/>
      <c r="AC17" s="4"/>
      <c r="AD17" s="5"/>
      <c r="AE17" s="4"/>
      <c r="AF17" s="4"/>
      <c r="AG17" s="5"/>
      <c r="AH17" s="4"/>
      <c r="AI17" s="4"/>
      <c r="AJ17" s="5"/>
      <c r="AK17" s="4"/>
      <c r="AL17" s="4"/>
      <c r="AM17" s="26">
        <f t="shared" si="0"/>
        <v>18244972.809999999</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v>284218.98000000004</v>
      </c>
      <c r="S18" s="4">
        <v>68</v>
      </c>
      <c r="T18" s="4">
        <v>3</v>
      </c>
      <c r="U18" s="5">
        <v>330432.93000000005</v>
      </c>
      <c r="V18" s="4">
        <v>68</v>
      </c>
      <c r="W18" s="4">
        <v>3</v>
      </c>
      <c r="X18" s="5">
        <v>245460.3</v>
      </c>
      <c r="Y18" s="4">
        <v>68</v>
      </c>
      <c r="Z18" s="4">
        <v>3</v>
      </c>
      <c r="AA18" s="5"/>
      <c r="AB18" s="4"/>
      <c r="AC18" s="4"/>
      <c r="AD18" s="5"/>
      <c r="AE18" s="4"/>
      <c r="AF18" s="4"/>
      <c r="AG18" s="5"/>
      <c r="AH18" s="4"/>
      <c r="AI18" s="4"/>
      <c r="AJ18" s="5"/>
      <c r="AK18" s="4"/>
      <c r="AL18" s="4"/>
      <c r="AM18" s="26">
        <f>+C18+F18+I18+L18+O18+R18+U18+X18+AA18+AD18+AG18+AJ18</f>
        <v>2319478.7199999997</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v>1352150.52</v>
      </c>
      <c r="S19" s="4">
        <v>240</v>
      </c>
      <c r="T19" s="4">
        <v>6</v>
      </c>
      <c r="U19" s="5">
        <v>1499777.23</v>
      </c>
      <c r="V19" s="4">
        <v>240</v>
      </c>
      <c r="W19" s="4">
        <v>6</v>
      </c>
      <c r="X19" s="5">
        <v>1218835.1099999999</v>
      </c>
      <c r="Y19" s="4">
        <v>240</v>
      </c>
      <c r="Z19" s="4">
        <v>6</v>
      </c>
      <c r="AA19" s="5"/>
      <c r="AB19" s="4"/>
      <c r="AC19" s="4"/>
      <c r="AD19" s="5"/>
      <c r="AE19" s="4"/>
      <c r="AF19" s="4"/>
      <c r="AG19" s="5"/>
      <c r="AH19" s="4"/>
      <c r="AI19" s="4"/>
      <c r="AJ19" s="5"/>
      <c r="AK19" s="4"/>
      <c r="AL19" s="4"/>
      <c r="AM19" s="26">
        <f t="shared" si="0"/>
        <v>10519246.619999999</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v>1193061.6100000001</v>
      </c>
      <c r="S20" s="4">
        <v>266</v>
      </c>
      <c r="T20" s="4">
        <v>5</v>
      </c>
      <c r="U20" s="5">
        <v>1276557.2999999998</v>
      </c>
      <c r="V20" s="4">
        <v>266</v>
      </c>
      <c r="W20" s="4">
        <v>5</v>
      </c>
      <c r="X20" s="5">
        <v>1051636.8899999999</v>
      </c>
      <c r="Y20" s="4">
        <v>266</v>
      </c>
      <c r="Z20" s="4">
        <v>5</v>
      </c>
      <c r="AA20" s="5"/>
      <c r="AB20" s="4"/>
      <c r="AC20" s="4"/>
      <c r="AD20" s="5"/>
      <c r="AE20" s="4"/>
      <c r="AF20" s="4"/>
      <c r="AG20" s="5"/>
      <c r="AH20" s="4"/>
      <c r="AI20" s="4"/>
      <c r="AJ20" s="5"/>
      <c r="AK20" s="4"/>
      <c r="AL20" s="4"/>
      <c r="AM20" s="26">
        <f t="shared" si="0"/>
        <v>9567620.120000001</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v>1392469.52</v>
      </c>
      <c r="S21" s="4">
        <v>195</v>
      </c>
      <c r="T21" s="4">
        <v>6</v>
      </c>
      <c r="U21" s="5">
        <v>1414820.67</v>
      </c>
      <c r="V21" s="4">
        <v>195</v>
      </c>
      <c r="W21" s="4">
        <v>6</v>
      </c>
      <c r="X21" s="5">
        <v>1255613.02</v>
      </c>
      <c r="Y21" s="4">
        <v>195</v>
      </c>
      <c r="Z21" s="4">
        <v>6</v>
      </c>
      <c r="AA21" s="5"/>
      <c r="AB21" s="4"/>
      <c r="AC21" s="4"/>
      <c r="AD21" s="5"/>
      <c r="AE21" s="4"/>
      <c r="AF21" s="4"/>
      <c r="AG21" s="5"/>
      <c r="AH21" s="4"/>
      <c r="AI21" s="4"/>
      <c r="AJ21" s="5"/>
      <c r="AK21" s="4"/>
      <c r="AL21" s="4"/>
      <c r="AM21" s="26">
        <f t="shared" si="0"/>
        <v>10811984.619999999</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v>2289590.15</v>
      </c>
      <c r="S22" s="4">
        <v>318</v>
      </c>
      <c r="T22" s="4">
        <v>7</v>
      </c>
      <c r="U22" s="5">
        <v>2295849.2999999998</v>
      </c>
      <c r="V22" s="4">
        <v>318</v>
      </c>
      <c r="W22" s="4">
        <v>7</v>
      </c>
      <c r="X22" s="5">
        <v>2108960.44</v>
      </c>
      <c r="Y22" s="4">
        <v>318</v>
      </c>
      <c r="Z22" s="4">
        <v>7</v>
      </c>
      <c r="AA22" s="5"/>
      <c r="AB22" s="4"/>
      <c r="AC22" s="4"/>
      <c r="AD22" s="5"/>
      <c r="AE22" s="4"/>
      <c r="AF22" s="4"/>
      <c r="AG22" s="5"/>
      <c r="AH22" s="4"/>
      <c r="AI22" s="4"/>
      <c r="AJ22" s="5"/>
      <c r="AK22" s="4"/>
      <c r="AL22" s="4"/>
      <c r="AM22" s="26">
        <f t="shared" si="0"/>
        <v>18330696.170000002</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v>1001709.6499999999</v>
      </c>
      <c r="S23" s="4">
        <v>150</v>
      </c>
      <c r="T23" s="4">
        <v>3</v>
      </c>
      <c r="U23" s="5">
        <v>949927.91</v>
      </c>
      <c r="V23" s="4">
        <v>150</v>
      </c>
      <c r="W23" s="4">
        <v>3</v>
      </c>
      <c r="X23" s="5">
        <v>770535.69000000006</v>
      </c>
      <c r="Y23" s="4">
        <v>150</v>
      </c>
      <c r="Z23" s="4">
        <v>3</v>
      </c>
      <c r="AA23" s="5"/>
      <c r="AB23" s="4"/>
      <c r="AC23" s="4"/>
      <c r="AD23" s="5"/>
      <c r="AE23" s="4"/>
      <c r="AF23" s="4"/>
      <c r="AG23" s="5"/>
      <c r="AH23" s="4"/>
      <c r="AI23" s="4"/>
      <c r="AJ23" s="5"/>
      <c r="AK23" s="4"/>
      <c r="AL23" s="4"/>
      <c r="AM23" s="26">
        <f t="shared" si="0"/>
        <v>7726615.8400000008</v>
      </c>
      <c r="AN23" s="26"/>
    </row>
    <row r="24" spans="1:40" s="7" customFormat="1" x14ac:dyDescent="0.2">
      <c r="A24" s="8" t="s">
        <v>32</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v>2253588.2799999998</v>
      </c>
      <c r="S24" s="4">
        <v>234</v>
      </c>
      <c r="T24" s="4">
        <v>8</v>
      </c>
      <c r="U24" s="5">
        <v>2180718.4500000002</v>
      </c>
      <c r="V24" s="4">
        <v>234</v>
      </c>
      <c r="W24" s="4">
        <v>8</v>
      </c>
      <c r="X24" s="5">
        <v>1733085.68</v>
      </c>
      <c r="Y24" s="4">
        <v>234</v>
      </c>
      <c r="Z24" s="4">
        <v>8</v>
      </c>
      <c r="AA24" s="5"/>
      <c r="AB24" s="4"/>
      <c r="AC24" s="4"/>
      <c r="AD24" s="5"/>
      <c r="AE24" s="4"/>
      <c r="AF24" s="4"/>
      <c r="AG24" s="5"/>
      <c r="AH24" s="4"/>
      <c r="AI24" s="4"/>
      <c r="AJ24" s="5"/>
      <c r="AK24" s="4"/>
      <c r="AL24" s="4"/>
      <c r="AM24" s="26">
        <f t="shared" si="0"/>
        <v>16314851.219999999</v>
      </c>
      <c r="AN24" s="26"/>
    </row>
    <row r="25" spans="1:40" s="7" customFormat="1" x14ac:dyDescent="0.2">
      <c r="A25" s="8" t="s">
        <v>38</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v>5107984.66</v>
      </c>
      <c r="S25" s="4">
        <v>662</v>
      </c>
      <c r="T25" s="4">
        <v>11</v>
      </c>
      <c r="U25" s="5">
        <v>4991548.5599999996</v>
      </c>
      <c r="V25" s="4">
        <v>662</v>
      </c>
      <c r="W25" s="4">
        <v>11</v>
      </c>
      <c r="X25" s="5">
        <v>4668206.08</v>
      </c>
      <c r="Y25" s="4">
        <v>662</v>
      </c>
      <c r="Z25" s="4">
        <v>11</v>
      </c>
      <c r="AA25" s="5"/>
      <c r="AB25" s="4"/>
      <c r="AC25" s="4"/>
      <c r="AD25" s="5"/>
      <c r="AE25" s="4"/>
      <c r="AF25" s="4"/>
      <c r="AG25" s="5"/>
      <c r="AH25" s="4"/>
      <c r="AI25" s="4"/>
      <c r="AJ25" s="5"/>
      <c r="AK25" s="4"/>
      <c r="AL25" s="4"/>
      <c r="AM25" s="26">
        <f t="shared" si="0"/>
        <v>41003728</v>
      </c>
      <c r="AN25" s="26"/>
    </row>
    <row r="26" spans="1:40" s="7" customFormat="1" x14ac:dyDescent="0.2">
      <c r="A26" s="8" t="s">
        <v>39</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v>5774960.0699999994</v>
      </c>
      <c r="S26" s="4">
        <v>651</v>
      </c>
      <c r="T26" s="4">
        <v>14</v>
      </c>
      <c r="U26" s="5">
        <v>5437667.1600000001</v>
      </c>
      <c r="V26" s="4">
        <v>652</v>
      </c>
      <c r="W26" s="4">
        <v>14</v>
      </c>
      <c r="X26" s="5">
        <v>5005279.3999999994</v>
      </c>
      <c r="Y26" s="4">
        <v>652</v>
      </c>
      <c r="Z26" s="4">
        <v>14</v>
      </c>
      <c r="AA26" s="5"/>
      <c r="AB26" s="4"/>
      <c r="AC26" s="4"/>
      <c r="AD26" s="5"/>
      <c r="AE26" s="4"/>
      <c r="AF26" s="4"/>
      <c r="AG26" s="5"/>
      <c r="AH26" s="4"/>
      <c r="AI26" s="4"/>
      <c r="AJ26" s="5"/>
      <c r="AK26" s="4"/>
      <c r="AL26" s="4"/>
      <c r="AM26" s="26">
        <f t="shared" si="0"/>
        <v>44761830.669999994</v>
      </c>
      <c r="AN26" s="26"/>
    </row>
    <row r="27" spans="1:40" s="7" customFormat="1" x14ac:dyDescent="0.2">
      <c r="A27" s="8" t="s">
        <v>41</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v>788725.84000000008</v>
      </c>
      <c r="S27" s="4">
        <v>159</v>
      </c>
      <c r="T27" s="4">
        <v>4</v>
      </c>
      <c r="U27" s="5">
        <v>737721.64</v>
      </c>
      <c r="V27" s="4">
        <v>159</v>
      </c>
      <c r="W27" s="4">
        <v>4</v>
      </c>
      <c r="X27" s="5">
        <v>749602.41</v>
      </c>
      <c r="Y27" s="4">
        <v>159</v>
      </c>
      <c r="Z27" s="4">
        <v>4</v>
      </c>
      <c r="AA27" s="5"/>
      <c r="AB27" s="4"/>
      <c r="AC27" s="4"/>
      <c r="AD27" s="5"/>
      <c r="AE27" s="4"/>
      <c r="AF27" s="4"/>
      <c r="AG27" s="5"/>
      <c r="AH27" s="4"/>
      <c r="AI27" s="4"/>
      <c r="AJ27" s="5"/>
      <c r="AK27" s="4"/>
      <c r="AL27" s="4"/>
      <c r="AM27" s="26">
        <f t="shared" si="0"/>
        <v>6515965.54</v>
      </c>
      <c r="AN27" s="26"/>
    </row>
    <row r="28" spans="1:40" s="7" customFormat="1" x14ac:dyDescent="0.2">
      <c r="A28" s="8" t="s">
        <v>43</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v>3821091.2100000004</v>
      </c>
      <c r="S28" s="4">
        <v>327</v>
      </c>
      <c r="T28" s="4">
        <v>8</v>
      </c>
      <c r="U28" s="5">
        <v>3839903.92</v>
      </c>
      <c r="V28" s="4">
        <v>329</v>
      </c>
      <c r="W28" s="4">
        <v>8</v>
      </c>
      <c r="X28" s="5">
        <v>3424507.9</v>
      </c>
      <c r="Y28" s="4">
        <v>329</v>
      </c>
      <c r="Z28" s="4">
        <v>8</v>
      </c>
      <c r="AA28" s="5"/>
      <c r="AB28" s="4"/>
      <c r="AC28" s="4"/>
      <c r="AD28" s="5"/>
      <c r="AE28" s="4"/>
      <c r="AF28" s="4"/>
      <c r="AG28" s="5"/>
      <c r="AH28" s="4"/>
      <c r="AI28" s="4"/>
      <c r="AJ28" s="5"/>
      <c r="AK28" s="4"/>
      <c r="AL28" s="4"/>
      <c r="AM28" s="26">
        <f t="shared" si="0"/>
        <v>29696253.240000002</v>
      </c>
      <c r="AN28" s="26"/>
    </row>
    <row r="29" spans="1:40" s="7" customFormat="1" x14ac:dyDescent="0.2">
      <c r="A29" s="8" t="s">
        <v>45</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v>3061860.12</v>
      </c>
      <c r="S29" s="4">
        <v>281</v>
      </c>
      <c r="T29" s="4">
        <v>8</v>
      </c>
      <c r="U29" s="5">
        <v>3358716.75</v>
      </c>
      <c r="V29" s="4">
        <v>281</v>
      </c>
      <c r="W29" s="4">
        <v>8</v>
      </c>
      <c r="X29" s="5">
        <v>3106151.4899999998</v>
      </c>
      <c r="Y29" s="4">
        <v>281</v>
      </c>
      <c r="Z29" s="4">
        <v>8</v>
      </c>
      <c r="AA29" s="5"/>
      <c r="AB29" s="4"/>
      <c r="AC29" s="4"/>
      <c r="AD29" s="5"/>
      <c r="AE29" s="4"/>
      <c r="AF29" s="4"/>
      <c r="AG29" s="5"/>
      <c r="AH29" s="4"/>
      <c r="AI29" s="4"/>
      <c r="AJ29" s="5"/>
      <c r="AK29" s="4"/>
      <c r="AL29" s="4"/>
      <c r="AM29" s="26">
        <f t="shared" si="0"/>
        <v>26408405.599999998</v>
      </c>
      <c r="AN29" s="26"/>
    </row>
    <row r="30" spans="1:40" s="7" customFormat="1" x14ac:dyDescent="0.2">
      <c r="A30" s="8" t="s">
        <v>47</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v>2747713.15</v>
      </c>
      <c r="S30" s="4">
        <v>332</v>
      </c>
      <c r="T30" s="4">
        <v>10</v>
      </c>
      <c r="U30" s="5">
        <v>2799114.66</v>
      </c>
      <c r="V30" s="4">
        <v>332</v>
      </c>
      <c r="W30" s="4">
        <v>10</v>
      </c>
      <c r="X30" s="5">
        <v>2640600.4699999997</v>
      </c>
      <c r="Y30" s="4">
        <v>332</v>
      </c>
      <c r="Z30" s="4">
        <v>10</v>
      </c>
      <c r="AA30" s="5"/>
      <c r="AB30" s="4"/>
      <c r="AC30" s="4"/>
      <c r="AD30" s="5"/>
      <c r="AE30" s="4"/>
      <c r="AF30" s="4"/>
      <c r="AG30" s="5"/>
      <c r="AH30" s="4"/>
      <c r="AI30" s="4"/>
      <c r="AJ30" s="5"/>
      <c r="AK30" s="4"/>
      <c r="AL30" s="4"/>
      <c r="AM30" s="26">
        <f t="shared" si="0"/>
        <v>21126912.589999996</v>
      </c>
      <c r="AN30" s="26"/>
    </row>
    <row r="31" spans="1:40" s="7" customFormat="1" x14ac:dyDescent="0.2">
      <c r="A31" s="8" t="s">
        <v>49</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v>1704943.14</v>
      </c>
      <c r="S31" s="4">
        <v>213</v>
      </c>
      <c r="T31" s="4">
        <v>5</v>
      </c>
      <c r="U31" s="5">
        <v>1960342.9900000002</v>
      </c>
      <c r="V31" s="4">
        <v>213</v>
      </c>
      <c r="W31" s="4">
        <v>5</v>
      </c>
      <c r="X31" s="5">
        <v>1626137.7000000002</v>
      </c>
      <c r="Y31" s="4">
        <v>213</v>
      </c>
      <c r="Z31" s="4">
        <v>5</v>
      </c>
      <c r="AA31" s="5"/>
      <c r="AB31" s="4"/>
      <c r="AC31" s="4"/>
      <c r="AD31" s="5"/>
      <c r="AE31" s="4"/>
      <c r="AF31" s="4"/>
      <c r="AG31" s="5"/>
      <c r="AH31" s="4"/>
      <c r="AI31" s="4"/>
      <c r="AJ31" s="5"/>
      <c r="AK31" s="4"/>
      <c r="AL31" s="4"/>
      <c r="AM31" s="26">
        <f t="shared" si="0"/>
        <v>13880904.16</v>
      </c>
      <c r="AN31" s="26"/>
    </row>
    <row r="32" spans="1:40" s="7" customFormat="1" x14ac:dyDescent="0.2">
      <c r="A32" s="8" t="s">
        <v>51</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v>4319684.7700000005</v>
      </c>
      <c r="S32" s="4">
        <v>496</v>
      </c>
      <c r="T32" s="4">
        <v>13</v>
      </c>
      <c r="U32" s="5">
        <v>4139388.3699999996</v>
      </c>
      <c r="V32" s="4">
        <v>522</v>
      </c>
      <c r="W32" s="4">
        <v>13</v>
      </c>
      <c r="X32" s="5">
        <v>3708168.33</v>
      </c>
      <c r="Y32" s="4">
        <v>522</v>
      </c>
      <c r="Z32" s="4">
        <v>13</v>
      </c>
      <c r="AA32" s="5"/>
      <c r="AB32" s="4"/>
      <c r="AC32" s="4"/>
      <c r="AD32" s="5"/>
      <c r="AE32" s="4"/>
      <c r="AF32" s="4"/>
      <c r="AG32" s="5"/>
      <c r="AH32" s="4"/>
      <c r="AI32" s="4"/>
      <c r="AJ32" s="5"/>
      <c r="AK32" s="4"/>
      <c r="AL32" s="4"/>
      <c r="AM32" s="26">
        <f t="shared" si="0"/>
        <v>33778834.990000002</v>
      </c>
      <c r="AN32" s="26"/>
    </row>
    <row r="33" spans="1:40" s="7" customFormat="1" x14ac:dyDescent="0.2">
      <c r="A33" s="8" t="s">
        <v>53</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v>460765.82</v>
      </c>
      <c r="S33" s="4">
        <v>89</v>
      </c>
      <c r="T33" s="4">
        <v>3</v>
      </c>
      <c r="U33" s="5">
        <v>527994.78</v>
      </c>
      <c r="V33" s="4">
        <v>89</v>
      </c>
      <c r="W33" s="4">
        <v>3</v>
      </c>
      <c r="X33" s="5">
        <v>462538.07</v>
      </c>
      <c r="Y33" s="4">
        <v>88</v>
      </c>
      <c r="Z33" s="4">
        <v>3</v>
      </c>
      <c r="AA33" s="5"/>
      <c r="AB33" s="4"/>
      <c r="AC33" s="4"/>
      <c r="AD33" s="5"/>
      <c r="AE33" s="4"/>
      <c r="AF33" s="4"/>
      <c r="AG33" s="5"/>
      <c r="AH33" s="4"/>
      <c r="AI33" s="4"/>
      <c r="AJ33" s="5"/>
      <c r="AK33" s="4"/>
      <c r="AL33" s="4"/>
      <c r="AM33" s="26">
        <f t="shared" si="0"/>
        <v>3439294.7499999995</v>
      </c>
      <c r="AN33" s="26"/>
    </row>
    <row r="34" spans="1:40" x14ac:dyDescent="0.2">
      <c r="A34" s="8" t="s">
        <v>55</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v>578298.51</v>
      </c>
      <c r="S34" s="4">
        <v>105</v>
      </c>
      <c r="T34" s="4">
        <v>4</v>
      </c>
      <c r="U34" s="5">
        <v>601322.03</v>
      </c>
      <c r="V34" s="4">
        <v>105</v>
      </c>
      <c r="W34" s="4">
        <v>4</v>
      </c>
      <c r="X34" s="5">
        <v>595981.30999999994</v>
      </c>
      <c r="Y34" s="4">
        <v>105</v>
      </c>
      <c r="Z34" s="4">
        <v>4</v>
      </c>
      <c r="AA34" s="5"/>
      <c r="AB34" s="4"/>
      <c r="AC34" s="4"/>
      <c r="AD34" s="5"/>
      <c r="AE34" s="4"/>
      <c r="AF34" s="4"/>
      <c r="AG34" s="5"/>
      <c r="AH34" s="4"/>
      <c r="AI34" s="4"/>
      <c r="AJ34" s="5"/>
      <c r="AK34" s="4"/>
      <c r="AL34" s="4"/>
      <c r="AM34" s="26">
        <f t="shared" si="0"/>
        <v>4992529.3899999997</v>
      </c>
      <c r="AN34" s="26"/>
    </row>
    <row r="35" spans="1:40" x14ac:dyDescent="0.2">
      <c r="A35" s="8" t="s">
        <v>57</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v>877408.14</v>
      </c>
      <c r="S35" s="4">
        <v>103</v>
      </c>
      <c r="T35" s="4">
        <v>3</v>
      </c>
      <c r="U35" s="5">
        <v>802897.02</v>
      </c>
      <c r="V35" s="4">
        <v>103</v>
      </c>
      <c r="W35" s="4">
        <v>3</v>
      </c>
      <c r="X35" s="5">
        <v>859735.9</v>
      </c>
      <c r="Y35" s="4">
        <v>103</v>
      </c>
      <c r="Z35" s="4">
        <v>3</v>
      </c>
      <c r="AA35" s="5"/>
      <c r="AB35" s="4"/>
      <c r="AC35" s="4"/>
      <c r="AD35" s="5"/>
      <c r="AE35" s="4"/>
      <c r="AF35" s="4"/>
      <c r="AG35" s="5"/>
      <c r="AH35" s="4"/>
      <c r="AI35" s="4"/>
      <c r="AJ35" s="5"/>
      <c r="AK35" s="4"/>
      <c r="AL35" s="4"/>
      <c r="AM35" s="26">
        <f t="shared" si="0"/>
        <v>6619705.8200000003</v>
      </c>
      <c r="AN35" s="26"/>
    </row>
    <row r="36" spans="1:40" x14ac:dyDescent="0.2">
      <c r="A36" s="8" t="s">
        <v>59</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v>1104708.23</v>
      </c>
      <c r="S36" s="4">
        <v>153</v>
      </c>
      <c r="T36" s="4">
        <v>3</v>
      </c>
      <c r="U36" s="5">
        <v>1180702.6099999999</v>
      </c>
      <c r="V36" s="4">
        <v>153</v>
      </c>
      <c r="W36" s="4">
        <v>3</v>
      </c>
      <c r="X36" s="5">
        <v>1034171.1499999999</v>
      </c>
      <c r="Y36" s="4">
        <v>153</v>
      </c>
      <c r="Z36" s="4">
        <v>3</v>
      </c>
      <c r="AA36" s="5"/>
      <c r="AB36" s="4"/>
      <c r="AC36" s="4"/>
      <c r="AD36" s="5"/>
      <c r="AE36" s="4"/>
      <c r="AF36" s="4"/>
      <c r="AG36" s="5"/>
      <c r="AH36" s="4"/>
      <c r="AI36" s="4"/>
      <c r="AJ36" s="5"/>
      <c r="AK36" s="4"/>
      <c r="AL36" s="4"/>
      <c r="AM36" s="26">
        <f t="shared" si="0"/>
        <v>8960271</v>
      </c>
      <c r="AN36" s="26"/>
    </row>
    <row r="37" spans="1:40" x14ac:dyDescent="0.2">
      <c r="A37" s="8" t="s">
        <v>61</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v>1863256</v>
      </c>
      <c r="S37" s="4">
        <v>238</v>
      </c>
      <c r="T37" s="4">
        <v>4</v>
      </c>
      <c r="U37" s="5">
        <v>1813048.43</v>
      </c>
      <c r="V37" s="4">
        <v>238</v>
      </c>
      <c r="W37" s="4">
        <v>4</v>
      </c>
      <c r="X37" s="5">
        <v>1653246.3699999996</v>
      </c>
      <c r="Y37" s="4">
        <v>238</v>
      </c>
      <c r="Z37" s="4">
        <v>4</v>
      </c>
      <c r="AA37" s="5"/>
      <c r="AB37" s="4"/>
      <c r="AC37" s="4"/>
      <c r="AD37" s="5"/>
      <c r="AE37" s="4"/>
      <c r="AF37" s="4"/>
      <c r="AG37" s="5"/>
      <c r="AH37" s="4"/>
      <c r="AI37" s="4"/>
      <c r="AJ37" s="5"/>
      <c r="AK37" s="4"/>
      <c r="AL37" s="4"/>
      <c r="AM37" s="26">
        <f t="shared" si="0"/>
        <v>14557451.519999998</v>
      </c>
      <c r="AN37" s="26"/>
    </row>
    <row r="38" spans="1:40" x14ac:dyDescent="0.2">
      <c r="A38" s="8" t="s">
        <v>63</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v>905375.65</v>
      </c>
      <c r="S38" s="4">
        <v>154</v>
      </c>
      <c r="T38" s="4">
        <v>4</v>
      </c>
      <c r="U38" s="5">
        <v>1011797.51</v>
      </c>
      <c r="V38" s="4">
        <v>154</v>
      </c>
      <c r="W38" s="4">
        <v>4</v>
      </c>
      <c r="X38" s="5">
        <v>791255</v>
      </c>
      <c r="Y38" s="4">
        <v>154</v>
      </c>
      <c r="Z38" s="4">
        <v>4</v>
      </c>
      <c r="AA38" s="5"/>
      <c r="AB38" s="4"/>
      <c r="AC38" s="4"/>
      <c r="AD38" s="5"/>
      <c r="AE38" s="4"/>
      <c r="AF38" s="4"/>
      <c r="AG38" s="5"/>
      <c r="AH38" s="4"/>
      <c r="AI38" s="4"/>
      <c r="AJ38" s="5"/>
      <c r="AK38" s="4"/>
      <c r="AL38" s="4"/>
      <c r="AM38" s="26">
        <f t="shared" si="0"/>
        <v>7224854.5600000005</v>
      </c>
      <c r="AN38" s="26"/>
    </row>
    <row r="39" spans="1:40" x14ac:dyDescent="0.2">
      <c r="A39" s="8" t="s">
        <v>64</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v>8545442.6799999997</v>
      </c>
      <c r="S39" s="4">
        <v>751</v>
      </c>
      <c r="T39" s="4">
        <v>10</v>
      </c>
      <c r="U39" s="5">
        <v>7525903.9299999997</v>
      </c>
      <c r="V39" s="4">
        <v>752</v>
      </c>
      <c r="W39" s="4">
        <v>10</v>
      </c>
      <c r="X39" s="5">
        <v>7459470.0899999999</v>
      </c>
      <c r="Y39" s="4">
        <v>752</v>
      </c>
      <c r="Z39" s="4">
        <v>10</v>
      </c>
      <c r="AA39" s="5"/>
      <c r="AB39" s="4"/>
      <c r="AC39" s="4"/>
      <c r="AD39" s="5"/>
      <c r="AE39" s="4"/>
      <c r="AF39" s="4"/>
      <c r="AG39" s="5"/>
      <c r="AH39" s="4"/>
      <c r="AI39" s="4"/>
      <c r="AJ39" s="5"/>
      <c r="AK39" s="4"/>
      <c r="AL39" s="4"/>
      <c r="AM39" s="26">
        <f t="shared" si="0"/>
        <v>65799547.99000001</v>
      </c>
      <c r="AN39" s="26"/>
    </row>
    <row r="40" spans="1:40" x14ac:dyDescent="0.2">
      <c r="A40" s="7" t="s">
        <v>66</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v>5614982.75</v>
      </c>
      <c r="S40" s="4">
        <v>639</v>
      </c>
      <c r="T40" s="4">
        <v>12</v>
      </c>
      <c r="U40" s="5">
        <v>5096374.669999999</v>
      </c>
      <c r="V40" s="4">
        <v>639</v>
      </c>
      <c r="W40" s="4">
        <v>12</v>
      </c>
      <c r="X40" s="5">
        <v>4962153.62</v>
      </c>
      <c r="Y40" s="4">
        <v>639</v>
      </c>
      <c r="Z40" s="4">
        <v>12</v>
      </c>
      <c r="AA40" s="5"/>
      <c r="AB40" s="4"/>
      <c r="AC40" s="4"/>
      <c r="AD40" s="5"/>
      <c r="AE40" s="4"/>
      <c r="AF40" s="4"/>
      <c r="AG40" s="5"/>
      <c r="AH40" s="4"/>
      <c r="AI40" s="4"/>
      <c r="AJ40" s="5"/>
      <c r="AK40" s="4"/>
      <c r="AL40" s="4"/>
      <c r="AM40" s="26">
        <f t="shared" si="0"/>
        <v>43488180.909999996</v>
      </c>
      <c r="AN40" s="26"/>
    </row>
    <row r="41" spans="1:40" x14ac:dyDescent="0.2">
      <c r="A41" s="7" t="s">
        <v>67</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v>7233536.4200000009</v>
      </c>
      <c r="S41" s="4">
        <v>714</v>
      </c>
      <c r="T41" s="4">
        <v>11</v>
      </c>
      <c r="U41" s="5">
        <v>6770912.870000001</v>
      </c>
      <c r="V41" s="4">
        <v>714</v>
      </c>
      <c r="W41" s="4">
        <v>11</v>
      </c>
      <c r="X41" s="5">
        <v>6191429.6599999992</v>
      </c>
      <c r="Y41" s="4">
        <v>714</v>
      </c>
      <c r="Z41" s="4">
        <v>11</v>
      </c>
      <c r="AA41" s="5"/>
      <c r="AB41" s="4"/>
      <c r="AC41" s="4"/>
      <c r="AD41" s="5"/>
      <c r="AE41" s="4"/>
      <c r="AF41" s="4"/>
      <c r="AG41" s="5"/>
      <c r="AH41" s="4"/>
      <c r="AI41" s="4"/>
      <c r="AJ41" s="5"/>
      <c r="AK41" s="4"/>
      <c r="AL41" s="4"/>
      <c r="AM41" s="26">
        <f t="shared" si="0"/>
        <v>55627409.670000002</v>
      </c>
      <c r="AN41" s="26"/>
    </row>
    <row r="42" spans="1:40" x14ac:dyDescent="0.2">
      <c r="A42" s="7" t="s">
        <v>68</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v>1591874.4700000002</v>
      </c>
      <c r="S42" s="4">
        <v>162</v>
      </c>
      <c r="T42" s="4">
        <v>4</v>
      </c>
      <c r="U42" s="5">
        <v>1475464.29</v>
      </c>
      <c r="V42" s="4">
        <v>162</v>
      </c>
      <c r="W42" s="4">
        <v>4</v>
      </c>
      <c r="X42" s="5">
        <v>1557168.8800000001</v>
      </c>
      <c r="Y42" s="4">
        <v>162</v>
      </c>
      <c r="Z42" s="4">
        <v>4</v>
      </c>
      <c r="AA42" s="5"/>
      <c r="AB42" s="4"/>
      <c r="AC42" s="4"/>
      <c r="AD42" s="5"/>
      <c r="AE42" s="4"/>
      <c r="AF42" s="4"/>
      <c r="AG42" s="5"/>
      <c r="AH42" s="4"/>
      <c r="AI42" s="4"/>
      <c r="AJ42" s="5"/>
      <c r="AK42" s="4"/>
      <c r="AL42" s="4"/>
      <c r="AM42" s="26">
        <f t="shared" si="0"/>
        <v>13012069.74</v>
      </c>
      <c r="AN42" s="26"/>
    </row>
    <row r="43" spans="1:40" x14ac:dyDescent="0.2">
      <c r="A43" s="7" t="s">
        <v>69</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v>5448006.7800000003</v>
      </c>
      <c r="S43" s="4">
        <v>431</v>
      </c>
      <c r="T43" s="4">
        <v>6</v>
      </c>
      <c r="U43" s="5">
        <v>5226773.7700000005</v>
      </c>
      <c r="V43" s="4">
        <v>430</v>
      </c>
      <c r="W43" s="4">
        <v>6</v>
      </c>
      <c r="X43" s="5">
        <v>4718195.3099999996</v>
      </c>
      <c r="Y43" s="4">
        <v>431</v>
      </c>
      <c r="Z43" s="4">
        <v>6</v>
      </c>
      <c r="AA43" s="5"/>
      <c r="AB43" s="4"/>
      <c r="AC43" s="4"/>
      <c r="AD43" s="5"/>
      <c r="AE43" s="4"/>
      <c r="AF43" s="4"/>
      <c r="AG43" s="5"/>
      <c r="AH43" s="4"/>
      <c r="AI43" s="4"/>
      <c r="AJ43" s="5"/>
      <c r="AK43" s="4"/>
      <c r="AL43" s="4"/>
      <c r="AM43" s="26">
        <f t="shared" si="0"/>
        <v>42048970.080000006</v>
      </c>
      <c r="AN43" s="26"/>
    </row>
    <row r="44" spans="1:40" x14ac:dyDescent="0.2">
      <c r="A44" s="7" t="s">
        <v>70</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v>5120277.3900000006</v>
      </c>
      <c r="S44" s="4">
        <v>462</v>
      </c>
      <c r="T44" s="4">
        <v>6</v>
      </c>
      <c r="U44" s="5">
        <v>4711153.79</v>
      </c>
      <c r="V44" s="4">
        <v>462</v>
      </c>
      <c r="W44" s="4">
        <v>6</v>
      </c>
      <c r="X44" s="5">
        <v>4584003.3099999996</v>
      </c>
      <c r="Y44" s="4">
        <v>458</v>
      </c>
      <c r="Z44" s="4">
        <v>6</v>
      </c>
      <c r="AA44" s="5"/>
      <c r="AB44" s="4"/>
      <c r="AC44" s="4"/>
      <c r="AD44" s="5"/>
      <c r="AE44" s="4"/>
      <c r="AF44" s="4"/>
      <c r="AG44" s="5"/>
      <c r="AH44" s="4"/>
      <c r="AI44" s="4"/>
      <c r="AJ44" s="5"/>
      <c r="AK44" s="4"/>
      <c r="AL44" s="4"/>
      <c r="AM44" s="26">
        <f t="shared" si="0"/>
        <v>39236410.560000002</v>
      </c>
      <c r="AN44" s="26"/>
    </row>
    <row r="45" spans="1:40" x14ac:dyDescent="0.2">
      <c r="A45" s="7" t="s">
        <v>71</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v>5050088.2499999991</v>
      </c>
      <c r="S45" s="4">
        <v>635</v>
      </c>
      <c r="T45" s="4">
        <v>9</v>
      </c>
      <c r="U45" s="5">
        <v>4816344.3699999992</v>
      </c>
      <c r="V45" s="4">
        <v>635</v>
      </c>
      <c r="W45" s="4">
        <v>9</v>
      </c>
      <c r="X45" s="5">
        <v>4319059.8699999992</v>
      </c>
      <c r="Y45" s="4">
        <v>635</v>
      </c>
      <c r="Z45" s="4">
        <v>9</v>
      </c>
      <c r="AA45" s="5"/>
      <c r="AB45" s="4"/>
      <c r="AC45" s="4"/>
      <c r="AD45" s="5"/>
      <c r="AE45" s="4"/>
      <c r="AF45" s="4"/>
      <c r="AG45" s="5"/>
      <c r="AH45" s="4"/>
      <c r="AI45" s="4"/>
      <c r="AJ45" s="5"/>
      <c r="AK45" s="4"/>
      <c r="AL45" s="4"/>
      <c r="AM45" s="26">
        <f t="shared" si="0"/>
        <v>39521926.07</v>
      </c>
      <c r="AN45" s="26"/>
    </row>
    <row r="46" spans="1:40" x14ac:dyDescent="0.2">
      <c r="A46" s="7" t="s">
        <v>72</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v>5545580.1799999997</v>
      </c>
      <c r="S46" s="4">
        <v>640</v>
      </c>
      <c r="T46" s="4">
        <v>8</v>
      </c>
      <c r="U46" s="5">
        <v>5232681.8999999994</v>
      </c>
      <c r="V46" s="4">
        <v>640</v>
      </c>
      <c r="W46" s="4">
        <v>8</v>
      </c>
      <c r="X46" s="5">
        <v>4850737.22</v>
      </c>
      <c r="Y46" s="4">
        <v>640</v>
      </c>
      <c r="Z46" s="4">
        <v>8</v>
      </c>
      <c r="AA46" s="5"/>
      <c r="AB46" s="4"/>
      <c r="AC46" s="4"/>
      <c r="AD46" s="5"/>
      <c r="AE46" s="4"/>
      <c r="AF46" s="4"/>
      <c r="AG46" s="5"/>
      <c r="AH46" s="4"/>
      <c r="AI46" s="4"/>
      <c r="AJ46" s="5"/>
      <c r="AK46" s="4"/>
      <c r="AL46" s="4"/>
      <c r="AM46" s="26">
        <f t="shared" si="0"/>
        <v>43236403.719999999</v>
      </c>
      <c r="AN46" s="26"/>
    </row>
    <row r="47" spans="1:40" x14ac:dyDescent="0.2">
      <c r="A47" s="7" t="s">
        <v>73</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v>6795419.9699999988</v>
      </c>
      <c r="S47" s="4">
        <v>771</v>
      </c>
      <c r="T47" s="4">
        <v>11</v>
      </c>
      <c r="U47" s="5">
        <v>6841463.9499999983</v>
      </c>
      <c r="V47" s="4">
        <v>771</v>
      </c>
      <c r="W47" s="4">
        <v>11</v>
      </c>
      <c r="X47" s="5">
        <v>5834413.96</v>
      </c>
      <c r="Y47" s="4">
        <v>771</v>
      </c>
      <c r="Z47" s="4">
        <v>11</v>
      </c>
      <c r="AA47" s="5"/>
      <c r="AB47" s="4"/>
      <c r="AC47" s="4"/>
      <c r="AD47" s="5"/>
      <c r="AE47" s="4"/>
      <c r="AF47" s="4"/>
      <c r="AG47" s="5"/>
      <c r="AH47" s="4"/>
      <c r="AI47" s="4"/>
      <c r="AJ47" s="5"/>
      <c r="AK47" s="4"/>
      <c r="AL47" s="4"/>
      <c r="AM47" s="26">
        <f t="shared" si="0"/>
        <v>53020416.890000001</v>
      </c>
      <c r="AN47" s="26"/>
    </row>
    <row r="48" spans="1:40" x14ac:dyDescent="0.2">
      <c r="A48" s="7" t="s">
        <v>74</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v>10902391.01</v>
      </c>
      <c r="S48" s="4">
        <v>955</v>
      </c>
      <c r="T48" s="4">
        <v>15</v>
      </c>
      <c r="U48" s="5">
        <v>10689684.389999999</v>
      </c>
      <c r="V48" s="4">
        <v>955</v>
      </c>
      <c r="W48" s="4">
        <v>15</v>
      </c>
      <c r="X48" s="5">
        <v>9438407.8699999992</v>
      </c>
      <c r="Y48" s="4">
        <v>955</v>
      </c>
      <c r="Z48" s="4">
        <v>15</v>
      </c>
      <c r="AA48" s="5"/>
      <c r="AB48" s="4"/>
      <c r="AC48" s="4"/>
      <c r="AD48" s="5"/>
      <c r="AE48" s="4"/>
      <c r="AF48" s="4"/>
      <c r="AG48" s="5"/>
      <c r="AH48" s="4"/>
      <c r="AI48" s="4"/>
      <c r="AJ48" s="5"/>
      <c r="AK48" s="4"/>
      <c r="AL48" s="4"/>
      <c r="AM48" s="26">
        <f t="shared" si="0"/>
        <v>84329080.739999995</v>
      </c>
      <c r="AN48" s="26"/>
    </row>
    <row r="49" spans="1:40" x14ac:dyDescent="0.2">
      <c r="A49" s="7" t="s">
        <v>75</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v>2397893.54</v>
      </c>
      <c r="S49" s="4">
        <v>377</v>
      </c>
      <c r="T49" s="4">
        <v>10</v>
      </c>
      <c r="U49" s="5">
        <v>2544234.1300000004</v>
      </c>
      <c r="V49" s="4">
        <v>377</v>
      </c>
      <c r="W49" s="4">
        <v>10</v>
      </c>
      <c r="X49" s="5">
        <v>2431772.3600000003</v>
      </c>
      <c r="Y49" s="4">
        <v>377</v>
      </c>
      <c r="Z49" s="4">
        <v>10</v>
      </c>
      <c r="AA49" s="5"/>
      <c r="AB49" s="4"/>
      <c r="AC49" s="4"/>
      <c r="AD49" s="5"/>
      <c r="AE49" s="4"/>
      <c r="AF49" s="4"/>
      <c r="AG49" s="5"/>
      <c r="AH49" s="4"/>
      <c r="AI49" s="4"/>
      <c r="AJ49" s="5"/>
      <c r="AK49" s="4"/>
      <c r="AL49" s="4"/>
      <c r="AM49" s="26">
        <f t="shared" si="0"/>
        <v>20445087.389999997</v>
      </c>
      <c r="AN49" s="26"/>
    </row>
    <row r="50" spans="1:40" x14ac:dyDescent="0.2">
      <c r="A50" s="7" t="s">
        <v>76</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v>7520367.5300000003</v>
      </c>
      <c r="S50" s="4">
        <v>889</v>
      </c>
      <c r="T50" s="4">
        <v>16</v>
      </c>
      <c r="U50" s="5">
        <v>7398037.1899999985</v>
      </c>
      <c r="V50" s="4">
        <v>898</v>
      </c>
      <c r="W50" s="4">
        <v>16</v>
      </c>
      <c r="X50" s="5">
        <v>6694432.8999999994</v>
      </c>
      <c r="Y50" s="4">
        <v>898</v>
      </c>
      <c r="Z50" s="4">
        <v>16</v>
      </c>
      <c r="AA50" s="5"/>
      <c r="AB50" s="4"/>
      <c r="AC50" s="4"/>
      <c r="AD50" s="5"/>
      <c r="AE50" s="4"/>
      <c r="AF50" s="4"/>
      <c r="AG50" s="5"/>
      <c r="AH50" s="4"/>
      <c r="AI50" s="4"/>
      <c r="AJ50" s="5"/>
      <c r="AK50" s="4"/>
      <c r="AL50" s="4"/>
      <c r="AM50" s="26">
        <f t="shared" si="0"/>
        <v>59825044.309999995</v>
      </c>
      <c r="AN50" s="26"/>
    </row>
    <row r="51" spans="1:40" x14ac:dyDescent="0.2">
      <c r="A51" s="7" t="s">
        <v>77</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v>11725885.479999999</v>
      </c>
      <c r="S51" s="4">
        <v>928</v>
      </c>
      <c r="T51" s="4">
        <v>14</v>
      </c>
      <c r="U51" s="5">
        <v>11721470.32</v>
      </c>
      <c r="V51" s="4">
        <v>928</v>
      </c>
      <c r="W51" s="4">
        <v>14</v>
      </c>
      <c r="X51" s="5">
        <v>10203244.73</v>
      </c>
      <c r="Y51" s="4">
        <v>928</v>
      </c>
      <c r="Z51" s="4">
        <v>14</v>
      </c>
      <c r="AA51" s="5"/>
      <c r="AB51" s="4"/>
      <c r="AC51" s="4"/>
      <c r="AD51" s="5"/>
      <c r="AE51" s="4"/>
      <c r="AF51" s="4"/>
      <c r="AG51" s="5"/>
      <c r="AH51" s="4"/>
      <c r="AI51" s="4"/>
      <c r="AJ51" s="5"/>
      <c r="AK51" s="4"/>
      <c r="AL51" s="4"/>
      <c r="AM51" s="26">
        <f t="shared" si="0"/>
        <v>94131268.480000004</v>
      </c>
      <c r="AN51" s="26"/>
    </row>
    <row r="52" spans="1:40" x14ac:dyDescent="0.2">
      <c r="A52" s="7" t="s">
        <v>78</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v>5612257.1299999999</v>
      </c>
      <c r="S52" s="4">
        <v>519</v>
      </c>
      <c r="T52" s="4">
        <v>9</v>
      </c>
      <c r="U52" s="5">
        <v>5587751.0100000007</v>
      </c>
      <c r="V52" s="4">
        <v>519</v>
      </c>
      <c r="W52" s="4">
        <v>9</v>
      </c>
      <c r="X52" s="5">
        <v>5268101.3099999996</v>
      </c>
      <c r="Y52" s="4">
        <v>519</v>
      </c>
      <c r="Z52" s="4">
        <v>9</v>
      </c>
      <c r="AA52" s="5"/>
      <c r="AB52" s="4"/>
      <c r="AC52" s="4"/>
      <c r="AD52" s="5"/>
      <c r="AE52" s="4"/>
      <c r="AF52" s="4"/>
      <c r="AG52" s="5"/>
      <c r="AH52" s="4"/>
      <c r="AI52" s="4"/>
      <c r="AJ52" s="5"/>
      <c r="AK52" s="4"/>
      <c r="AL52" s="4"/>
      <c r="AM52" s="26">
        <f t="shared" si="0"/>
        <v>45638082.460000001</v>
      </c>
      <c r="AN52" s="26"/>
    </row>
    <row r="53" spans="1:40" x14ac:dyDescent="0.2">
      <c r="A53" s="7" t="s">
        <v>79</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v>14571476.039999999</v>
      </c>
      <c r="S53" s="4">
        <v>913</v>
      </c>
      <c r="T53" s="4">
        <v>13</v>
      </c>
      <c r="U53" s="5">
        <v>13425393.050000003</v>
      </c>
      <c r="V53" s="4">
        <v>913</v>
      </c>
      <c r="W53" s="4">
        <v>13</v>
      </c>
      <c r="X53" s="5">
        <v>12322539.069999998</v>
      </c>
      <c r="Y53" s="4">
        <v>913</v>
      </c>
      <c r="Z53" s="4">
        <v>13</v>
      </c>
      <c r="AA53" s="5"/>
      <c r="AB53" s="4"/>
      <c r="AC53" s="4"/>
      <c r="AD53" s="5"/>
      <c r="AE53" s="4"/>
      <c r="AF53" s="4"/>
      <c r="AG53" s="5"/>
      <c r="AH53" s="4"/>
      <c r="AI53" s="4"/>
      <c r="AJ53" s="5"/>
      <c r="AK53" s="4"/>
      <c r="AL53" s="4"/>
      <c r="AM53" s="26">
        <f t="shared" si="0"/>
        <v>111312262.52</v>
      </c>
      <c r="AN53" s="26"/>
    </row>
    <row r="54" spans="1:40" x14ac:dyDescent="0.2">
      <c r="A54" s="7" t="s">
        <v>80</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v>3450958.16</v>
      </c>
      <c r="S54" s="4">
        <v>405</v>
      </c>
      <c r="T54" s="4">
        <v>6</v>
      </c>
      <c r="U54" s="5">
        <v>3187705.12</v>
      </c>
      <c r="V54" s="4">
        <v>404</v>
      </c>
      <c r="W54" s="4">
        <v>6</v>
      </c>
      <c r="X54" s="5">
        <v>2909791.4400000004</v>
      </c>
      <c r="Y54" s="4">
        <v>405</v>
      </c>
      <c r="Z54" s="4">
        <v>6</v>
      </c>
      <c r="AA54" s="5"/>
      <c r="AB54" s="4"/>
      <c r="AC54" s="4"/>
      <c r="AD54" s="5"/>
      <c r="AE54" s="4"/>
      <c r="AF54" s="4"/>
      <c r="AG54" s="5"/>
      <c r="AH54" s="4"/>
      <c r="AI54" s="4"/>
      <c r="AJ54" s="5"/>
      <c r="AK54" s="4"/>
      <c r="AL54" s="4"/>
      <c r="AM54" s="26">
        <f t="shared" si="0"/>
        <v>26155321.370000001</v>
      </c>
      <c r="AN54" s="26"/>
    </row>
    <row r="55" spans="1:40" x14ac:dyDescent="0.2">
      <c r="A55" s="7" t="s">
        <v>81</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v>2554150.0699999998</v>
      </c>
      <c r="S55" s="4">
        <v>452</v>
      </c>
      <c r="T55" s="4">
        <v>9</v>
      </c>
      <c r="U55" s="5">
        <v>2338993.96</v>
      </c>
      <c r="V55" s="4">
        <v>452</v>
      </c>
      <c r="W55" s="4">
        <v>9</v>
      </c>
      <c r="X55" s="5">
        <v>2232554.87</v>
      </c>
      <c r="Y55" s="4">
        <v>452</v>
      </c>
      <c r="Z55" s="4">
        <v>9</v>
      </c>
      <c r="AA55" s="5"/>
      <c r="AB55" s="4"/>
      <c r="AC55" s="4"/>
      <c r="AD55" s="5"/>
      <c r="AE55" s="4"/>
      <c r="AF55" s="4"/>
      <c r="AG55" s="5"/>
      <c r="AH55" s="4"/>
      <c r="AI55" s="4"/>
      <c r="AJ55" s="5"/>
      <c r="AK55" s="4"/>
      <c r="AL55" s="4"/>
      <c r="AM55" s="26">
        <f t="shared" si="0"/>
        <v>19987258.650000002</v>
      </c>
      <c r="AN55" s="26"/>
    </row>
    <row r="56" spans="1:40" x14ac:dyDescent="0.2">
      <c r="A56" s="7" t="s">
        <v>82</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v>12667869.68</v>
      </c>
      <c r="S56" s="4">
        <v>833</v>
      </c>
      <c r="T56" s="4">
        <v>14</v>
      </c>
      <c r="U56" s="5">
        <v>12109864.01</v>
      </c>
      <c r="V56" s="4">
        <v>833</v>
      </c>
      <c r="W56" s="4">
        <v>14</v>
      </c>
      <c r="X56" s="5">
        <v>11118110.419999998</v>
      </c>
      <c r="Y56" s="4">
        <v>833</v>
      </c>
      <c r="Z56" s="4">
        <v>14</v>
      </c>
      <c r="AA56" s="5"/>
      <c r="AB56" s="4"/>
      <c r="AC56" s="4"/>
      <c r="AD56" s="5"/>
      <c r="AE56" s="4"/>
      <c r="AF56" s="4"/>
      <c r="AG56" s="5"/>
      <c r="AH56" s="4"/>
      <c r="AI56" s="4"/>
      <c r="AJ56" s="5"/>
      <c r="AK56" s="4"/>
      <c r="AL56" s="4"/>
      <c r="AM56" s="26">
        <f t="shared" si="0"/>
        <v>97738807.900000006</v>
      </c>
      <c r="AN56" s="26"/>
    </row>
    <row r="57" spans="1:40" x14ac:dyDescent="0.2">
      <c r="A57" s="7" t="s">
        <v>83</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v>14918244.550000001</v>
      </c>
      <c r="S57" s="4">
        <v>953</v>
      </c>
      <c r="T57" s="4">
        <v>15</v>
      </c>
      <c r="U57" s="5">
        <v>13874315.469999999</v>
      </c>
      <c r="V57" s="4">
        <v>953</v>
      </c>
      <c r="W57" s="4">
        <v>15</v>
      </c>
      <c r="X57" s="5">
        <v>12804578.6</v>
      </c>
      <c r="Y57" s="4">
        <v>953</v>
      </c>
      <c r="Z57" s="4">
        <v>15</v>
      </c>
      <c r="AA57" s="5"/>
      <c r="AB57" s="4"/>
      <c r="AC57" s="4"/>
      <c r="AD57" s="5"/>
      <c r="AE57" s="4"/>
      <c r="AF57" s="4"/>
      <c r="AG57" s="5"/>
      <c r="AH57" s="4"/>
      <c r="AI57" s="4"/>
      <c r="AJ57" s="5"/>
      <c r="AK57" s="4"/>
      <c r="AL57" s="4"/>
      <c r="AM57" s="26">
        <f t="shared" si="0"/>
        <v>116582959.23999999</v>
      </c>
      <c r="AN57" s="26"/>
    </row>
    <row r="58" spans="1:40" x14ac:dyDescent="0.2">
      <c r="A58" s="7" t="s">
        <v>84</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v>8103330.3100000005</v>
      </c>
      <c r="S58" s="4">
        <v>523</v>
      </c>
      <c r="T58" s="4">
        <v>7</v>
      </c>
      <c r="U58" s="5">
        <v>7819806.6900000013</v>
      </c>
      <c r="V58" s="4">
        <v>523</v>
      </c>
      <c r="W58" s="4">
        <v>7</v>
      </c>
      <c r="X58" s="5">
        <v>7069652.71</v>
      </c>
      <c r="Y58" s="4">
        <v>523</v>
      </c>
      <c r="Z58" s="4">
        <v>7</v>
      </c>
      <c r="AA58" s="5"/>
      <c r="AB58" s="4"/>
      <c r="AC58" s="4"/>
      <c r="AD58" s="5"/>
      <c r="AE58" s="4"/>
      <c r="AF58" s="4"/>
      <c r="AG58" s="5"/>
      <c r="AH58" s="4"/>
      <c r="AI58" s="4"/>
      <c r="AJ58" s="5"/>
      <c r="AK58" s="4"/>
      <c r="AL58" s="4"/>
      <c r="AM58" s="26">
        <f t="shared" si="0"/>
        <v>63633927.18</v>
      </c>
      <c r="AN58" s="26"/>
    </row>
    <row r="59" spans="1:40" x14ac:dyDescent="0.2">
      <c r="A59" s="7" t="s">
        <v>85</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v>4312524.82</v>
      </c>
      <c r="S59" s="4">
        <v>535</v>
      </c>
      <c r="T59" s="4">
        <v>9</v>
      </c>
      <c r="U59" s="5">
        <v>4041770.6799999997</v>
      </c>
      <c r="V59" s="4">
        <v>535</v>
      </c>
      <c r="W59" s="4">
        <v>9</v>
      </c>
      <c r="X59" s="5">
        <v>3762413.97</v>
      </c>
      <c r="Y59" s="4">
        <v>535</v>
      </c>
      <c r="Z59" s="4">
        <v>9</v>
      </c>
      <c r="AA59" s="5"/>
      <c r="AB59" s="4"/>
      <c r="AC59" s="4"/>
      <c r="AD59" s="5"/>
      <c r="AE59" s="4"/>
      <c r="AF59" s="4"/>
      <c r="AG59" s="5"/>
      <c r="AH59" s="4"/>
      <c r="AI59" s="4"/>
      <c r="AJ59" s="5"/>
      <c r="AK59" s="4"/>
      <c r="AL59" s="4"/>
      <c r="AM59" s="26">
        <f t="shared" si="0"/>
        <v>34016583.650000006</v>
      </c>
      <c r="AN59" s="26"/>
    </row>
    <row r="60" spans="1:40" x14ac:dyDescent="0.2">
      <c r="A60" s="7" t="s">
        <v>86</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v>11375711.690000001</v>
      </c>
      <c r="S60" s="4">
        <v>973</v>
      </c>
      <c r="T60" s="4">
        <v>14</v>
      </c>
      <c r="U60" s="5">
        <v>10874984.420000002</v>
      </c>
      <c r="V60" s="4">
        <v>973</v>
      </c>
      <c r="W60" s="4">
        <v>14</v>
      </c>
      <c r="X60" s="5">
        <v>10064712.15</v>
      </c>
      <c r="Y60" s="4">
        <v>973</v>
      </c>
      <c r="Z60" s="4">
        <v>14</v>
      </c>
      <c r="AA60" s="5"/>
      <c r="AB60" s="4"/>
      <c r="AC60" s="4"/>
      <c r="AD60" s="5"/>
      <c r="AE60" s="4"/>
      <c r="AF60" s="4"/>
      <c r="AG60" s="5"/>
      <c r="AH60" s="4"/>
      <c r="AI60" s="4"/>
      <c r="AJ60" s="5"/>
      <c r="AK60" s="4"/>
      <c r="AL60" s="4"/>
      <c r="AM60" s="26">
        <f t="shared" si="0"/>
        <v>88029102.390000001</v>
      </c>
      <c r="AN60" s="26"/>
    </row>
    <row r="61" spans="1:40" x14ac:dyDescent="0.2">
      <c r="A61" s="7" t="s">
        <v>87</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v>7837969.9900000012</v>
      </c>
      <c r="S61" s="4">
        <v>765</v>
      </c>
      <c r="T61" s="4">
        <v>16</v>
      </c>
      <c r="U61" s="5">
        <v>8333537.8500000006</v>
      </c>
      <c r="V61" s="4">
        <v>765</v>
      </c>
      <c r="W61" s="4">
        <v>16</v>
      </c>
      <c r="X61" s="5">
        <v>6709738.3700000001</v>
      </c>
      <c r="Y61" s="4">
        <v>765</v>
      </c>
      <c r="Z61" s="4">
        <v>16</v>
      </c>
      <c r="AA61" s="5"/>
      <c r="AB61" s="4"/>
      <c r="AC61" s="4"/>
      <c r="AD61" s="5"/>
      <c r="AE61" s="4"/>
      <c r="AF61" s="4"/>
      <c r="AG61" s="5"/>
      <c r="AH61" s="4"/>
      <c r="AI61" s="4"/>
      <c r="AJ61" s="5"/>
      <c r="AK61" s="4"/>
      <c r="AL61" s="4"/>
      <c r="AM61" s="26">
        <f t="shared" si="0"/>
        <v>59898196.840000004</v>
      </c>
      <c r="AN61" s="26"/>
    </row>
    <row r="62" spans="1:40" x14ac:dyDescent="0.2">
      <c r="A62" s="7" t="s">
        <v>88</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v>2742779.3200000003</v>
      </c>
      <c r="S62" s="4">
        <v>288</v>
      </c>
      <c r="T62" s="4">
        <v>7</v>
      </c>
      <c r="U62" s="5">
        <v>2514411.84</v>
      </c>
      <c r="V62" s="4">
        <v>288</v>
      </c>
      <c r="W62" s="4">
        <v>7</v>
      </c>
      <c r="X62" s="5">
        <v>2343932.08</v>
      </c>
      <c r="Y62" s="4">
        <v>288</v>
      </c>
      <c r="Z62" s="4">
        <v>7</v>
      </c>
      <c r="AA62" s="5"/>
      <c r="AB62" s="4"/>
      <c r="AC62" s="4"/>
      <c r="AD62" s="5"/>
      <c r="AE62" s="4"/>
      <c r="AF62" s="4"/>
      <c r="AG62" s="5"/>
      <c r="AH62" s="4"/>
      <c r="AI62" s="4"/>
      <c r="AJ62" s="5"/>
      <c r="AK62" s="4"/>
      <c r="AL62" s="4"/>
      <c r="AM62" s="26">
        <f t="shared" si="0"/>
        <v>21007930.939999998</v>
      </c>
      <c r="AN62" s="26"/>
    </row>
    <row r="63" spans="1:40" x14ac:dyDescent="0.2">
      <c r="A63" s="7" t="s">
        <v>89</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v>5700442.3000000007</v>
      </c>
      <c r="S63" s="4">
        <v>471</v>
      </c>
      <c r="T63" s="4">
        <v>9</v>
      </c>
      <c r="U63" s="5">
        <v>5327143.17</v>
      </c>
      <c r="V63" s="4">
        <v>471</v>
      </c>
      <c r="W63" s="4">
        <v>9</v>
      </c>
      <c r="X63" s="5">
        <v>5045566.3</v>
      </c>
      <c r="Y63" s="4">
        <v>471</v>
      </c>
      <c r="Z63" s="4">
        <v>9</v>
      </c>
      <c r="AA63" s="5"/>
      <c r="AB63" s="4"/>
      <c r="AC63" s="4"/>
      <c r="AD63" s="5"/>
      <c r="AE63" s="4"/>
      <c r="AF63" s="4"/>
      <c r="AG63" s="5"/>
      <c r="AH63" s="4"/>
      <c r="AI63" s="4"/>
      <c r="AJ63" s="5"/>
      <c r="AK63" s="4"/>
      <c r="AL63" s="4"/>
      <c r="AM63" s="26">
        <f t="shared" si="0"/>
        <v>46194414.589999996</v>
      </c>
      <c r="AN63" s="26"/>
    </row>
    <row r="64" spans="1:40" x14ac:dyDescent="0.2">
      <c r="A64" s="7" t="s">
        <v>90</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v>1830971.1400000001</v>
      </c>
      <c r="S64" s="4">
        <v>199</v>
      </c>
      <c r="T64" s="4">
        <v>4</v>
      </c>
      <c r="U64" s="5">
        <v>1513684.71</v>
      </c>
      <c r="V64" s="4">
        <v>199</v>
      </c>
      <c r="W64" s="4">
        <v>4</v>
      </c>
      <c r="X64" s="5">
        <v>1310126.7</v>
      </c>
      <c r="Y64" s="4">
        <v>199</v>
      </c>
      <c r="Z64" s="4">
        <v>4</v>
      </c>
      <c r="AA64" s="5"/>
      <c r="AB64" s="4"/>
      <c r="AC64" s="4"/>
      <c r="AD64" s="5"/>
      <c r="AE64" s="4"/>
      <c r="AF64" s="4"/>
      <c r="AG64" s="5"/>
      <c r="AH64" s="4"/>
      <c r="AI64" s="4"/>
      <c r="AJ64" s="5"/>
      <c r="AK64" s="4"/>
      <c r="AL64" s="4"/>
      <c r="AM64" s="26">
        <f t="shared" si="0"/>
        <v>13138035.490000002</v>
      </c>
      <c r="AN64" s="26"/>
    </row>
    <row r="65" spans="1:41" x14ac:dyDescent="0.2">
      <c r="A65" s="7" t="s">
        <v>91</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v>6343516.5900000008</v>
      </c>
      <c r="S65" s="4">
        <v>651</v>
      </c>
      <c r="T65" s="4">
        <v>9</v>
      </c>
      <c r="U65" s="5">
        <v>5984207.1300000008</v>
      </c>
      <c r="V65" s="4">
        <v>652</v>
      </c>
      <c r="W65" s="4">
        <v>9</v>
      </c>
      <c r="X65" s="5">
        <v>5760022.6500000004</v>
      </c>
      <c r="Y65" s="4">
        <v>652</v>
      </c>
      <c r="Z65" s="4">
        <v>9</v>
      </c>
      <c r="AA65" s="5"/>
      <c r="AB65" s="4"/>
      <c r="AC65" s="4"/>
      <c r="AD65" s="5"/>
      <c r="AE65" s="4"/>
      <c r="AF65" s="4"/>
      <c r="AG65" s="5"/>
      <c r="AH65" s="4"/>
      <c r="AI65" s="4"/>
      <c r="AJ65" s="5"/>
      <c r="AK65" s="4"/>
      <c r="AL65" s="4"/>
      <c r="AM65" s="26">
        <f>+C65+F65+I65+L65+O65+R65+U65+X65+AA65+AD65+AG65+AJ65</f>
        <v>49586894.750000007</v>
      </c>
      <c r="AN65" s="26"/>
    </row>
    <row r="66" spans="1:41" x14ac:dyDescent="0.2">
      <c r="A66" s="7" t="s">
        <v>92</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v>995440.29</v>
      </c>
      <c r="S66" s="4">
        <v>138</v>
      </c>
      <c r="T66" s="4">
        <v>3</v>
      </c>
      <c r="U66" s="5">
        <v>1040079.4099999999</v>
      </c>
      <c r="V66" s="4">
        <v>138</v>
      </c>
      <c r="W66" s="4">
        <v>3</v>
      </c>
      <c r="X66" s="5">
        <v>1053028.73</v>
      </c>
      <c r="Y66" s="4">
        <v>138</v>
      </c>
      <c r="Z66" s="4">
        <v>3</v>
      </c>
      <c r="AA66" s="5"/>
      <c r="AB66" s="4"/>
      <c r="AC66" s="4"/>
      <c r="AD66" s="5"/>
      <c r="AE66" s="4"/>
      <c r="AF66" s="4"/>
      <c r="AG66" s="5"/>
      <c r="AH66" s="4"/>
      <c r="AI66" s="4"/>
      <c r="AJ66" s="5"/>
      <c r="AK66" s="4"/>
      <c r="AL66" s="4"/>
      <c r="AM66" s="26">
        <f t="shared" si="0"/>
        <v>8231008.8300000001</v>
      </c>
      <c r="AN66" s="26"/>
    </row>
    <row r="67" spans="1:41" x14ac:dyDescent="0.2">
      <c r="A67" s="7" t="s">
        <v>93</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v>7661090.9299999997</v>
      </c>
      <c r="S67" s="4">
        <v>746</v>
      </c>
      <c r="T67" s="4">
        <v>11</v>
      </c>
      <c r="U67" s="5">
        <v>7015626.4400000013</v>
      </c>
      <c r="V67" s="4">
        <v>746</v>
      </c>
      <c r="W67" s="4">
        <v>11</v>
      </c>
      <c r="X67" s="5">
        <v>6570592.8799999999</v>
      </c>
      <c r="Y67" s="4">
        <v>746</v>
      </c>
      <c r="Z67" s="4">
        <v>11</v>
      </c>
      <c r="AA67" s="5"/>
      <c r="AB67" s="4"/>
      <c r="AC67" s="4"/>
      <c r="AD67" s="5"/>
      <c r="AE67" s="4"/>
      <c r="AF67" s="4"/>
      <c r="AG67" s="5"/>
      <c r="AH67" s="4"/>
      <c r="AI67" s="4"/>
      <c r="AJ67" s="5"/>
      <c r="AK67" s="4"/>
      <c r="AL67" s="4"/>
      <c r="AM67" s="26">
        <f t="shared" si="0"/>
        <v>57818803.990000002</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269325578.96999997</v>
      </c>
      <c r="S70" s="59">
        <f t="shared" si="1"/>
        <v>26237</v>
      </c>
      <c r="T70" s="59">
        <f t="shared" si="1"/>
        <v>483</v>
      </c>
      <c r="U70" s="58">
        <f t="shared" si="1"/>
        <v>258719137.58000001</v>
      </c>
      <c r="V70" s="59">
        <f t="shared" si="1"/>
        <v>26270</v>
      </c>
      <c r="W70" s="59">
        <f t="shared" si="1"/>
        <v>483</v>
      </c>
      <c r="X70" s="58">
        <f t="shared" si="1"/>
        <v>236085360.28999999</v>
      </c>
      <c r="Y70" s="59">
        <f t="shared" si="1"/>
        <v>26268</v>
      </c>
      <c r="Z70" s="59">
        <f t="shared" si="1"/>
        <v>483</v>
      </c>
      <c r="AA70" s="58">
        <f t="shared" si="1"/>
        <v>0</v>
      </c>
      <c r="AB70" s="59">
        <f>SUM(AB11:AB69)</f>
        <v>0</v>
      </c>
      <c r="AC70" s="59">
        <f t="shared" si="1"/>
        <v>0</v>
      </c>
      <c r="AD70" s="58">
        <f t="shared" si="1"/>
        <v>0</v>
      </c>
      <c r="AE70" s="59">
        <f t="shared" si="1"/>
        <v>0</v>
      </c>
      <c r="AF70" s="59">
        <f t="shared" si="1"/>
        <v>0</v>
      </c>
      <c r="AG70" s="58">
        <f>SUM(AG11:AG69)</f>
        <v>0</v>
      </c>
      <c r="AH70" s="59">
        <f t="shared" si="1"/>
        <v>0</v>
      </c>
      <c r="AI70" s="59">
        <f t="shared" si="1"/>
        <v>0</v>
      </c>
      <c r="AJ70" s="58">
        <f>SUM(AJ11:AJ69)</f>
        <v>0</v>
      </c>
      <c r="AK70" s="59">
        <f>SUM(AK11:AK69)</f>
        <v>0</v>
      </c>
      <c r="AL70" s="59">
        <f>SUM(AL11:AL69)</f>
        <v>0</v>
      </c>
      <c r="AM70" s="58">
        <f>SUM(AM11:AM67)</f>
        <v>2100131815.2000003</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120</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117</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C9:E9"/>
    <mergeCell ref="F9:H9"/>
    <mergeCell ref="I9:K9"/>
    <mergeCell ref="L9:N9"/>
    <mergeCell ref="O9:Q9"/>
    <mergeCell ref="AG9:AI9"/>
    <mergeCell ref="AJ9:AL9"/>
    <mergeCell ref="R9:T9"/>
    <mergeCell ref="U9:W9"/>
    <mergeCell ref="X9:Z9"/>
    <mergeCell ref="AA9:AC9"/>
    <mergeCell ref="AD9:AF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114</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115</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3.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VGCCC-959767282-46231</_dlc_DocId>
    <TaxCatchAll xmlns="236b3a9f-a140-4b1e-93e8-cdba4b02ab7f">
      <Value>8</Value>
    </TaxCatchAll>
    <_dlc_DocIdUrl xmlns="008ced81-bb59-45e2-a4a0-ee95ac48c905">
      <Url>https://vgcccvicgovau.sharepoint.com/sites/SDIV-IntelligenceInsights/_layouts/15/DocIdRedir.aspx?ID=VGCCC-959767282-46231</Url>
      <Description>VGCCC-959767282-46231</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3.xml><?xml version="1.0" encoding="utf-8"?>
<ds:datastoreItem xmlns:ds="http://schemas.openxmlformats.org/officeDocument/2006/customXml" ds:itemID="{D191BFFE-7A4B-48BF-A687-E0F2A126352F}">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08ced81-bb59-45e2-a4a0-ee95ac48c905"/>
    <ds:schemaRef ds:uri="236b3a9f-a140-4b1e-93e8-cdba4b02ab7f"/>
    <ds:schemaRef ds:uri="http://www.w3.org/XML/1998/namespace"/>
    <ds:schemaRef ds:uri="http://purl.org/dc/dcmitype/"/>
  </ds:schemaRefs>
</ds:datastoreItem>
</file>

<file path=customXml/itemProps4.xml><?xml version="1.0" encoding="utf-8"?>
<ds:datastoreItem xmlns:ds="http://schemas.openxmlformats.org/officeDocument/2006/customXml" ds:itemID="{70DD77DE-F82B-47B9-8D1C-6714FD983DAF}">
  <ds:schemaRefs>
    <ds:schemaRef ds:uri="http://schemas.microsoft.com/office/2006/metadata/longProperties"/>
  </ds:schemaRefs>
</ds:datastoreItem>
</file>

<file path=customXml/itemProps5.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6.xml><?xml version="1.0" encoding="utf-8"?>
<ds:datastoreItem xmlns:ds="http://schemas.openxmlformats.org/officeDocument/2006/customXml" ds:itemID="{DEE0614E-0BA1-49EA-960F-384B1ADAF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 Definitions</vt:lpstr>
      <vt:lpstr>SUMMARY DATA</vt:lpstr>
      <vt:lpstr>Detail Data 2024-2025</vt:lpstr>
      <vt:lpstr>Detail Data 2023-2024</vt:lpstr>
      <vt:lpstr>Detail Data 2022-2023</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 (VGCCC)</cp:lastModifiedBy>
  <cp:revision/>
  <dcterms:created xsi:type="dcterms:W3CDTF">2013-06-27T00:47:44Z</dcterms:created>
  <dcterms:modified xsi:type="dcterms:W3CDTF">2025-03-11T03:04:59Z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1a28bee1-a9b8-4f6e-9fe8-3cd22a4c65a7</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